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Previsional 100-200" sheetId="1" r:id="rId4"/>
    <sheet name="Previsional 200-400" sheetId="2" r:id="rId5"/>
    <sheet name="3x5x100" sheetId="3" r:id="rId6"/>
    <sheet name="5x300" sheetId="4" r:id="rId7"/>
    <sheet name="6x50 BES Back" sheetId="5" r:id="rId8"/>
    <sheet name="6x50 BES Breast - Fly" sheetId="6" r:id="rId9"/>
    <sheet name="6x50 BES Free" sheetId="7" r:id="rId10"/>
    <sheet name="6x50 Build up" sheetId="8" r:id="rId11"/>
    <sheet name="50-100-50" sheetId="9" r:id="rId12"/>
  </sheets>
</workbook>
</file>

<file path=xl/sharedStrings.xml><?xml version="1.0" encoding="utf-8"?>
<sst xmlns="http://schemas.openxmlformats.org/spreadsheetml/2006/main" uniqueCount="152">
  <si>
    <t>Atleta</t>
  </si>
  <si>
    <t xml:space="preserve"> </t>
  </si>
  <si>
    <t>Entry data</t>
  </si>
  <si>
    <t>Distance</t>
  </si>
  <si>
    <t>Time</t>
  </si>
  <si>
    <t>lattato</t>
  </si>
  <si>
    <t>teorico</t>
  </si>
  <si>
    <t>mmol/l</t>
  </si>
  <si>
    <t>Quadro previsionale</t>
  </si>
  <si>
    <t>tolleranza</t>
  </si>
  <si>
    <t>lattacida</t>
  </si>
  <si>
    <t>potenza</t>
  </si>
  <si>
    <t>capacità</t>
  </si>
  <si>
    <t>aerobica</t>
  </si>
  <si>
    <t>resistenza</t>
  </si>
  <si>
    <t>critical</t>
  </si>
  <si>
    <t>power</t>
  </si>
  <si>
    <t>Distanza</t>
  </si>
  <si>
    <t>Tr</t>
  </si>
  <si>
    <t>Tempo</t>
  </si>
  <si>
    <t>Tl</t>
  </si>
  <si>
    <t>Tu</t>
  </si>
  <si>
    <t>Ta</t>
  </si>
  <si>
    <t>Tom</t>
  </si>
  <si>
    <t>Tol</t>
  </si>
  <si>
    <t>(m)</t>
  </si>
  <si>
    <t>(min)</t>
  </si>
  <si>
    <t>(s)</t>
  </si>
  <si>
    <t>tempi</t>
  </si>
  <si>
    <t>metri</t>
  </si>
  <si>
    <t>velocità</t>
  </si>
  <si>
    <t>soglia anaerobica</t>
  </si>
  <si>
    <t>pendenza   =</t>
  </si>
  <si>
    <t>intercetta    =</t>
  </si>
  <si>
    <t>Awk</t>
  </si>
  <si>
    <t>m/s</t>
  </si>
  <si>
    <t>m</t>
  </si>
  <si>
    <t>Entry DATA</t>
  </si>
  <si>
    <t>Test 3x5x100 1'30" - Andatura Crescente</t>
  </si>
  <si>
    <t>NOME COGNOME (Società)</t>
  </si>
  <si>
    <t>Luogo, data - vasca 50 m</t>
  </si>
  <si>
    <t xml:space="preserve">Data </t>
  </si>
  <si>
    <t>Stile</t>
  </si>
  <si>
    <t>crawl</t>
  </si>
  <si>
    <t>I serie - A2</t>
  </si>
  <si>
    <t>II serie - B1</t>
  </si>
  <si>
    <t>III serie - B2</t>
  </si>
  <si>
    <t>Ripetizione</t>
  </si>
  <si>
    <t>tempo</t>
  </si>
  <si>
    <t>Sf</t>
  </si>
  <si>
    <t>sec</t>
  </si>
  <si>
    <t>cicli/s</t>
  </si>
  <si>
    <t>I</t>
  </si>
  <si>
    <t>II</t>
  </si>
  <si>
    <t>III</t>
  </si>
  <si>
    <t>IV</t>
  </si>
  <si>
    <t>V</t>
  </si>
  <si>
    <t>media</t>
  </si>
  <si>
    <r>
      <rPr>
        <b val="1"/>
        <sz val="10"/>
        <color indexed="8"/>
        <rFont val="Arial"/>
      </rPr>
      <t xml:space="preserve">vel </t>
    </r>
    <r>
      <rPr>
        <sz val="10"/>
        <color indexed="8"/>
        <rFont val="Arial"/>
      </rPr>
      <t>(m/s)</t>
    </r>
  </si>
  <si>
    <r>
      <rPr>
        <b val="1"/>
        <sz val="10"/>
        <color indexed="8"/>
        <rFont val="Arial"/>
      </rPr>
      <t xml:space="preserve">Ds </t>
    </r>
    <r>
      <rPr>
        <sz val="10"/>
        <color indexed="8"/>
        <rFont val="Arial"/>
      </rPr>
      <t>(m/ciclo)</t>
    </r>
  </si>
  <si>
    <r>
      <rPr>
        <b val="1"/>
        <sz val="10"/>
        <color indexed="8"/>
        <rFont val="Arial"/>
      </rPr>
      <t xml:space="preserve">Fc </t>
    </r>
    <r>
      <rPr>
        <sz val="10"/>
        <color indexed="8"/>
        <rFont val="Arial"/>
      </rPr>
      <t>(b/min)</t>
    </r>
  </si>
  <si>
    <r>
      <rPr>
        <b val="1"/>
        <sz val="10"/>
        <color indexed="8"/>
        <rFont val="Arial"/>
      </rPr>
      <t xml:space="preserve">lattato </t>
    </r>
    <r>
      <rPr>
        <sz val="10"/>
        <color indexed="8"/>
        <rFont val="Arial"/>
      </rPr>
      <t>(mM)</t>
    </r>
  </si>
  <si>
    <t>Previsione alle diverse andature</t>
  </si>
  <si>
    <t>Intensità</t>
  </si>
  <si>
    <t xml:space="preserve">Velocità </t>
  </si>
  <si>
    <t>Fc</t>
  </si>
  <si>
    <t>Ds</t>
  </si>
  <si>
    <t>m/sec</t>
  </si>
  <si>
    <t>b/min</t>
  </si>
  <si>
    <t>cicli/min</t>
  </si>
  <si>
    <t>m/ciclo</t>
  </si>
  <si>
    <t>A2</t>
  </si>
  <si>
    <t>resistenza aerobica</t>
  </si>
  <si>
    <t>B1</t>
  </si>
  <si>
    <t>B2</t>
  </si>
  <si>
    <t>massima potenza aerobica</t>
  </si>
  <si>
    <t>Serie da:</t>
  </si>
  <si>
    <t xml:space="preserve">A2 </t>
  </si>
  <si>
    <t>50 m</t>
  </si>
  <si>
    <t>100 m</t>
  </si>
  <si>
    <t>150 m</t>
  </si>
  <si>
    <t>200 m</t>
  </si>
  <si>
    <t>continuo</t>
  </si>
  <si>
    <t>Test 5x300 SL Incrementali</t>
  </si>
  <si>
    <t>Lattato</t>
  </si>
  <si>
    <t>Velocità</t>
  </si>
  <si>
    <t>minuti</t>
  </si>
  <si>
    <t>secondi</t>
  </si>
  <si>
    <t>decimi</t>
  </si>
  <si>
    <t>T obiettivo Rek 400 - Rek 100</t>
  </si>
  <si>
    <t>Indicativa della resistenza aerobica</t>
  </si>
  <si>
    <t>Indicativa della soglia anaerobica</t>
  </si>
  <si>
    <t>Indicativa della max potenza aerobica</t>
  </si>
  <si>
    <t>300 m</t>
  </si>
  <si>
    <t>NOME COGNOME (Società) DORSO</t>
  </si>
  <si>
    <t>Luogo, data - vasca</t>
  </si>
  <si>
    <t>tempo (s)</t>
  </si>
  <si>
    <t>frequenza (cicli/min)</t>
  </si>
  <si>
    <t>T20 (s)</t>
  </si>
  <si>
    <t>distanza  (m/ciclo)</t>
  </si>
  <si>
    <t>numero di bracciate</t>
  </si>
  <si>
    <t>indice SIS (Nm/k/ciclo)</t>
  </si>
  <si>
    <t>SWOLF semplice</t>
  </si>
  <si>
    <t>SWOLF corretto</t>
  </si>
  <si>
    <t>TEMPO NUOTATO</t>
  </si>
  <si>
    <t>DISTANZA NUOTATA</t>
  </si>
  <si>
    <t>VELOCITA' DI NUOTO</t>
  </si>
  <si>
    <t>TEMPO DI SPINTA</t>
  </si>
  <si>
    <t>DISTANZA DI SPINTA</t>
  </si>
  <si>
    <t>VELOCITA' DI SPINTA</t>
  </si>
  <si>
    <t>1° 25</t>
  </si>
  <si>
    <t>2° 25</t>
  </si>
  <si>
    <t>1° 50</t>
  </si>
  <si>
    <t>2° 50</t>
  </si>
  <si>
    <t>3° 50</t>
  </si>
  <si>
    <t>4° 50</t>
  </si>
  <si>
    <t>5° 50</t>
  </si>
  <si>
    <t>6° 50</t>
  </si>
  <si>
    <t>Il foglio calcola i valori medi relativi a: frequenza del ciclo di bracciata (Sf) nei 50 metri;  distanza per ciclo di bracciata (Ds), calcolata sulla velocità media nel 20 metri centrali (velocità reale di nuoto); indice di efficienza SIS (velocità al quadrato * Ds) che esprime il lavoro meccanico esterno per ciclo per unità di coefficiente di drag (maggiore è l'indice SIS maggiore l'efficenza); indice SWOLF semplice, dato da (n. bracciate + t in secondi); indice SWOLF corretto, calcolato da (1/Sf +1)*numero di bracciate (minori sono gli indici SWOLF maggiore è l'efficienza). I valori dei vari indici sono paragonabili fra loro a patto che le lunghezze dello scivolamento nella fase subacquea dopo la spinta dal bordo e nell'arrivo siano analoghe.</t>
  </si>
  <si>
    <t>tempo 50 (s)</t>
  </si>
  <si>
    <t xml:space="preserve">numero ideale di bracciate ogni 50 </t>
  </si>
  <si>
    <t>Il numero di bracciate ideale rappresenta l'obbiettivo al quale tendere per compiere un lavoro per ciclo di bracciata più vicino possibile a quello di gara (da applicare durante le serie aerobiche)</t>
  </si>
  <si>
    <t>NOME COGNOME (Società) RANA O DELFINO</t>
  </si>
  <si>
    <t>Roma 17/1/2017</t>
  </si>
  <si>
    <t>3'</t>
  </si>
  <si>
    <t>5'</t>
  </si>
  <si>
    <t>7'</t>
  </si>
  <si>
    <t>9'</t>
  </si>
  <si>
    <t>LATT</t>
  </si>
  <si>
    <t>NOME COGNOME (Società) STILE LIBERO</t>
  </si>
  <si>
    <t>Test 6x50 Progressione 1' -</t>
  </si>
  <si>
    <t>distanza (m/ciclo)</t>
  </si>
  <si>
    <r>
      <rPr>
        <b val="1"/>
        <sz val="14"/>
        <color indexed="8"/>
        <rFont val="Calibri"/>
      </rPr>
      <t xml:space="preserve">migliori valori di efficienza </t>
    </r>
    <r>
      <rPr>
        <sz val="14"/>
        <color indexed="8"/>
        <rFont val="Calibri"/>
      </rPr>
      <t>(confrontare con i valori delle andature più veloci)</t>
    </r>
  </si>
  <si>
    <t>The sheet calculates for each repetition the following values: average stroke (Sf) in the 50,  DS, and the real swimming speed thanks to the T during the central 20m, efficiency index SIS (square speed * Ds) expressing external mechanical work per cycle per unit drag coefficient (the higher the SIS index the greater the efficiency); simple SWOLF index, given by (n. strokes + time in seconds); corrected SWOLF index calculated by (1/Sf +1)*number of strokes (the lower the SWOLF indices the greater the efficiency). The values of the different indexes are comparable with each other on condition that the lengths of the underwater phase after the push from the edge are always the same.</t>
  </si>
  <si>
    <t>frequenza ideale</t>
  </si>
  <si>
    <t>Stroke freq &amp; ideal nr of strokes represent the target to obtain the best EP at the fastest pace equal to the best calculated in the set (It should be considered that a decrease in efficiency increasing the speed is normal)</t>
  </si>
  <si>
    <t>n. bracciate ideale</t>
  </si>
  <si>
    <t>Test 50-100-50</t>
  </si>
  <si>
    <t>Luogo, data, vasca</t>
  </si>
  <si>
    <t>3 x (1x50 a 1' + 1x100 a 2' + 1x50 ) - Risultato + 5”-6” da il tempo che si vale in quel momento</t>
  </si>
  <si>
    <t>Sf (cicli/min)</t>
  </si>
  <si>
    <t>DS stimata  (m/ciclo)</t>
  </si>
  <si>
    <t>numero di bracciate II 50</t>
  </si>
  <si>
    <t>SIS</t>
  </si>
  <si>
    <t>SWOLF</t>
  </si>
  <si>
    <t>1° tratto</t>
  </si>
  <si>
    <t>2°tratto</t>
  </si>
  <si>
    <t>2° 100</t>
  </si>
  <si>
    <t>totale</t>
  </si>
  <si>
    <t xml:space="preserve">I dati relativi al tempo di percorrenza, frequenza media nel 1° e nel 2° tratto di 25 (o 50) metri, numero di bracciate e numero di respirazioni per ciascun 50 metri o 100 metri devono essere inseriti nel foglio. </t>
  </si>
  <si>
    <t>Il foglio calcola i valori medi relativi alla frequenza di bracciata nei 50 metri, la distanza media per ciclo di bracciata (che è sovrastimata perché calcolata sulla velocità media nel 50 metri e non sulla velocità reale di nuoto) e l' indice di efficienza SIS (prodotto della velocità al quadrato per la distanza per ciclo) che esprime il lavoro meccanico esterno per ciclo per unità di coefficente di drag. I valori sono paragonabili fra loro a patto che gli scivolamenti nella fase subacquea sianogli stessi nelle varie prove.</t>
  </si>
  <si>
    <t>Il recupero tra una ripetizione e l'altra può essere variato a seconda dell'indirizzo che si vuole dare all'esercitazione o in relazione  alle caratteristiche dell'atleta.  L'esercitazione inoltre risulta molto utile per una corretta gestione di gara indicando di gestire le tre parti in relazione a un potenziale 1432</t>
  </si>
</sst>
</file>

<file path=xl/styles.xml><?xml version="1.0" encoding="utf-8"?>
<styleSheet xmlns="http://schemas.openxmlformats.org/spreadsheetml/2006/main">
  <numFmts count="6">
    <numFmt numFmtId="0" formatCode="General"/>
    <numFmt numFmtId="59" formatCode="00.00"/>
    <numFmt numFmtId="60" formatCode="0.0"/>
    <numFmt numFmtId="61" formatCode="0.000"/>
    <numFmt numFmtId="62" formatCode="dd&quot;.&quot;mm&quot;.&quot;yy"/>
    <numFmt numFmtId="63" formatCode="00.0"/>
  </numFmts>
  <fonts count="28">
    <font>
      <sz val="10"/>
      <color indexed="8"/>
      <name val="Arial"/>
    </font>
    <font>
      <sz val="12"/>
      <color indexed="8"/>
      <name val="Helvetica Neue"/>
    </font>
    <font>
      <sz val="13"/>
      <color indexed="8"/>
      <name val="Arial"/>
    </font>
    <font>
      <b val="1"/>
      <sz val="10"/>
      <color indexed="8"/>
      <name val="Arial"/>
    </font>
    <font>
      <b val="1"/>
      <sz val="8"/>
      <color indexed="8"/>
      <name val="Arial"/>
    </font>
    <font>
      <sz val="7"/>
      <color indexed="11"/>
      <name val="Arial"/>
    </font>
    <font>
      <i val="1"/>
      <sz val="10"/>
      <color indexed="8"/>
      <name val="Arial"/>
    </font>
    <font>
      <sz val="10"/>
      <color indexed="11"/>
      <name val="Arial"/>
    </font>
    <font>
      <b val="1"/>
      <sz val="10"/>
      <color indexed="11"/>
      <name val="Arial"/>
    </font>
    <font>
      <i val="1"/>
      <sz val="10"/>
      <color indexed="11"/>
      <name val="Arial"/>
    </font>
    <font>
      <b val="1"/>
      <sz val="18"/>
      <color indexed="8"/>
      <name val="Comic Sans MS"/>
    </font>
    <font>
      <b val="1"/>
      <sz val="16"/>
      <color indexed="8"/>
      <name val="Calibri"/>
    </font>
    <font>
      <b val="1"/>
      <sz val="14"/>
      <color indexed="8"/>
      <name val="Arial"/>
    </font>
    <font>
      <sz val="14"/>
      <color indexed="8"/>
      <name val="Arial"/>
    </font>
    <font>
      <b val="1"/>
      <sz val="12"/>
      <color indexed="8"/>
      <name val="Arial"/>
    </font>
    <font>
      <sz val="8"/>
      <color indexed="8"/>
      <name val="Arial"/>
    </font>
    <font>
      <sz val="6"/>
      <color indexed="8"/>
      <name val="Arial"/>
    </font>
    <font>
      <sz val="12"/>
      <color indexed="8"/>
      <name val="Arial"/>
    </font>
    <font>
      <i val="1"/>
      <sz val="12"/>
      <color indexed="8"/>
      <name val="Arial"/>
    </font>
    <font>
      <b val="1"/>
      <sz val="12"/>
      <color indexed="8"/>
      <name val="Calibri"/>
    </font>
    <font>
      <b val="1"/>
      <sz val="16"/>
      <color indexed="8"/>
      <name val="Arial"/>
    </font>
    <font>
      <b val="1"/>
      <sz val="18"/>
      <color indexed="8"/>
      <name val="Arial"/>
    </font>
    <font>
      <sz val="12"/>
      <color indexed="8"/>
      <name val="Calibri"/>
    </font>
    <font>
      <sz val="14"/>
      <color indexed="8"/>
      <name val="Calibri"/>
    </font>
    <font>
      <b val="1"/>
      <sz val="14"/>
      <color indexed="8"/>
      <name val="Calibri"/>
    </font>
    <font>
      <b val="1"/>
      <sz val="24"/>
      <color indexed="8"/>
      <name val="Comic Sans MS"/>
    </font>
    <font>
      <sz val="11"/>
      <color indexed="8"/>
      <name val="Calibri"/>
    </font>
    <font>
      <b val="1"/>
      <i val="1"/>
      <sz val="14"/>
      <color indexed="8"/>
      <name val="Calibri"/>
    </font>
  </fonts>
  <fills count="9">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s>
  <borders count="63">
    <border>
      <left/>
      <right/>
      <top/>
      <bottom/>
      <diagonal/>
    </border>
    <border>
      <left style="thin">
        <color indexed="8"/>
      </left>
      <right style="thin">
        <color indexed="10"/>
      </right>
      <top style="thin">
        <color indexed="8"/>
      </top>
      <bottom style="thin">
        <color indexed="10"/>
      </bottom>
      <diagonal/>
    </border>
    <border>
      <left style="thin">
        <color indexed="10"/>
      </left>
      <right style="thin">
        <color indexed="10"/>
      </right>
      <top style="thin">
        <color indexed="8"/>
      </top>
      <bottom style="thin">
        <color indexed="10"/>
      </bottom>
      <diagonal/>
    </border>
    <border>
      <left style="thin">
        <color indexed="10"/>
      </left>
      <right style="thin">
        <color indexed="8"/>
      </right>
      <top style="thin">
        <color indexed="8"/>
      </top>
      <bottom style="thin">
        <color indexed="10"/>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8"/>
      </left>
      <right style="thin">
        <color indexed="10"/>
      </right>
      <top style="thin">
        <color indexed="10"/>
      </top>
      <bottom style="thin">
        <color indexed="8"/>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8"/>
      </bottom>
      <diagonal/>
    </border>
    <border>
      <left style="thin">
        <color indexed="10"/>
      </left>
      <right style="thin">
        <color indexed="10"/>
      </right>
      <top style="thin">
        <color indexed="8"/>
      </top>
      <bottom style="thin">
        <color indexed="8"/>
      </bottom>
      <diagonal/>
    </border>
    <border>
      <left style="thin">
        <color indexed="8"/>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10"/>
      </bottom>
      <diagonal/>
    </border>
    <border>
      <left style="thin">
        <color indexed="8"/>
      </left>
      <right style="thin">
        <color indexed="8"/>
      </right>
      <top style="thin">
        <color indexed="10"/>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10"/>
      </top>
      <bottom style="thin">
        <color indexed="10"/>
      </bottom>
      <diagonal/>
    </border>
    <border>
      <left style="thin">
        <color indexed="10"/>
      </left>
      <right style="thin">
        <color indexed="8"/>
      </right>
      <top style="thin">
        <color indexed="10"/>
      </top>
      <bottom style="thin">
        <color indexed="10"/>
      </bottom>
      <diagonal/>
    </border>
    <border>
      <left style="thin">
        <color indexed="10"/>
      </left>
      <right style="thin">
        <color indexed="10"/>
      </right>
      <top style="thin">
        <color indexed="10"/>
      </top>
      <bottom style="medium">
        <color indexed="8"/>
      </bottom>
      <diagonal/>
    </border>
    <border>
      <left style="medium">
        <color indexed="8"/>
      </left>
      <right style="thin">
        <color indexed="10"/>
      </right>
      <top style="medium">
        <color indexed="8"/>
      </top>
      <bottom style="medium">
        <color indexed="8"/>
      </bottom>
      <diagonal/>
    </border>
    <border>
      <left style="thin">
        <color indexed="10"/>
      </left>
      <right style="thin">
        <color indexed="10"/>
      </right>
      <top style="medium">
        <color indexed="8"/>
      </top>
      <bottom style="medium">
        <color indexed="8"/>
      </bottom>
      <diagonal/>
    </border>
    <border>
      <left style="thin">
        <color indexed="10"/>
      </left>
      <right style="medium">
        <color indexed="8"/>
      </right>
      <top style="medium">
        <color indexed="8"/>
      </top>
      <bottom style="medium">
        <color indexed="8"/>
      </bottom>
      <diagonal/>
    </border>
    <border>
      <left style="medium">
        <color indexed="8"/>
      </left>
      <right style="thin">
        <color indexed="10"/>
      </right>
      <top style="thin">
        <color indexed="10"/>
      </top>
      <bottom style="thin">
        <color indexed="10"/>
      </bottom>
      <diagonal/>
    </border>
    <border>
      <left style="thin">
        <color indexed="8"/>
      </left>
      <right style="thin">
        <color indexed="10"/>
      </right>
      <top style="medium">
        <color indexed="8"/>
      </top>
      <bottom style="thin">
        <color indexed="8"/>
      </bottom>
      <diagonal/>
    </border>
    <border>
      <left style="thin">
        <color indexed="10"/>
      </left>
      <right style="thin">
        <color indexed="8"/>
      </right>
      <top style="medium">
        <color indexed="8"/>
      </top>
      <bottom style="medium">
        <color indexed="8"/>
      </bottom>
      <diagonal/>
    </border>
    <border>
      <left style="thin">
        <color indexed="8"/>
      </left>
      <right style="thin">
        <color indexed="10"/>
      </right>
      <top style="medium">
        <color indexed="8"/>
      </top>
      <bottom style="medium">
        <color indexed="8"/>
      </bottom>
      <diagonal/>
    </border>
    <border>
      <left style="thin">
        <color indexed="8"/>
      </left>
      <right style="medium">
        <color indexed="8"/>
      </right>
      <top style="thin">
        <color indexed="8"/>
      </top>
      <bottom style="thin">
        <color indexed="8"/>
      </bottom>
      <diagonal/>
    </border>
    <border>
      <left style="thin">
        <color indexed="10"/>
      </left>
      <right style="thin">
        <color indexed="10"/>
      </right>
      <top style="medium">
        <color indexed="8"/>
      </top>
      <bottom style="thin">
        <color indexed="8"/>
      </bottom>
      <diagonal/>
    </border>
    <border>
      <left style="thin">
        <color indexed="10"/>
      </left>
      <right style="thin">
        <color indexed="10"/>
      </right>
      <top style="medium">
        <color indexed="8"/>
      </top>
      <bottom style="thin">
        <color indexed="10"/>
      </bottom>
      <diagonal/>
    </border>
    <border>
      <left style="thin">
        <color indexed="8"/>
      </left>
      <right style="thin">
        <color indexed="8"/>
      </right>
      <top style="thin">
        <color indexed="8"/>
      </top>
      <bottom style="thin">
        <color indexed="8"/>
      </bottom>
      <diagonal/>
    </border>
    <border>
      <left style="thin">
        <color indexed="10"/>
      </left>
      <right style="thin">
        <color indexed="10"/>
      </right>
      <top style="thin">
        <color indexed="8"/>
      </top>
      <bottom/>
      <diagonal/>
    </border>
    <border>
      <left style="thin">
        <color indexed="10"/>
      </left>
      <right style="thin">
        <color indexed="10"/>
      </right>
      <top style="thin">
        <color indexed="10"/>
      </top>
      <bottom/>
      <diagonal/>
    </border>
    <border>
      <left style="thin">
        <color indexed="10"/>
      </left>
      <right/>
      <top style="thin">
        <color indexed="10"/>
      </top>
      <bottom style="thin">
        <color indexed="10"/>
      </bottom>
      <diagonal/>
    </border>
    <border>
      <left/>
      <right/>
      <top/>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right style="thin">
        <color indexed="10"/>
      </right>
      <top/>
      <bottom style="thin">
        <color indexed="10"/>
      </bottom>
      <diagonal/>
    </border>
    <border>
      <left/>
      <right style="thin">
        <color indexed="10"/>
      </right>
      <top style="thin">
        <color indexed="10"/>
      </top>
      <bottom/>
      <diagonal/>
    </border>
    <border>
      <left style="thin">
        <color indexed="10"/>
      </left>
      <right/>
      <top/>
      <bottom style="thin">
        <color indexed="10"/>
      </bottom>
      <diagonal/>
    </border>
    <border>
      <left style="thin">
        <color indexed="10"/>
      </left>
      <right style="thin">
        <color indexed="10"/>
      </right>
      <top/>
      <bottom style="thin">
        <color indexed="10"/>
      </bottom>
      <diagonal/>
    </border>
    <border>
      <left style="thin">
        <color indexed="10"/>
      </left>
      <right/>
      <top/>
      <bottom/>
      <diagonal/>
    </border>
    <border>
      <left style="thin">
        <color indexed="8"/>
      </left>
      <right style="thin">
        <color indexed="15"/>
      </right>
      <top style="medium">
        <color indexed="8"/>
      </top>
      <bottom style="thin">
        <color indexed="8"/>
      </bottom>
      <diagonal/>
    </border>
    <border>
      <left style="thin">
        <color indexed="15"/>
      </left>
      <right style="thin">
        <color indexed="15"/>
      </right>
      <top style="medium">
        <color indexed="8"/>
      </top>
      <bottom style="thin">
        <color indexed="8"/>
      </bottom>
      <diagonal/>
    </border>
    <border>
      <left style="thin">
        <color indexed="15"/>
      </left>
      <right style="thin">
        <color indexed="8"/>
      </right>
      <top style="medium">
        <color indexed="8"/>
      </top>
      <bottom style="thin">
        <color indexed="8"/>
      </bottom>
      <diagonal/>
    </border>
    <border>
      <left style="thin">
        <color indexed="10"/>
      </left>
      <right style="thin">
        <color indexed="8"/>
      </right>
      <top style="medium">
        <color indexed="8"/>
      </top>
      <bottom style="thin">
        <color indexed="8"/>
      </bottom>
      <diagonal/>
    </border>
    <border>
      <left style="thin">
        <color indexed="8"/>
      </left>
      <right style="thin">
        <color indexed="8"/>
      </right>
      <top style="thin">
        <color indexed="8"/>
      </top>
      <bottom style="thin">
        <color indexed="15"/>
      </bottom>
      <diagonal/>
    </border>
    <border>
      <left style="thin">
        <color indexed="8"/>
      </left>
      <right style="thin">
        <color indexed="8"/>
      </right>
      <top style="thin">
        <color indexed="8"/>
      </top>
      <bottom/>
      <diagonal/>
    </border>
    <border>
      <left style="thin">
        <color indexed="8"/>
      </left>
      <right style="thin">
        <color indexed="8"/>
      </right>
      <top style="thin">
        <color indexed="15"/>
      </top>
      <bottom style="thin">
        <color indexed="8"/>
      </bottom>
      <diagonal/>
    </border>
    <border>
      <left style="thin">
        <color indexed="8"/>
      </left>
      <right style="thin">
        <color indexed="8"/>
      </right>
      <top/>
      <bottom style="thin">
        <color indexed="8"/>
      </bottom>
      <diagonal/>
    </border>
    <border>
      <left style="thin">
        <color indexed="10"/>
      </left>
      <right/>
      <top style="thin">
        <color indexed="8"/>
      </top>
      <bottom style="thin">
        <color indexed="8"/>
      </bottom>
      <diagonal/>
    </border>
    <border>
      <left/>
      <right/>
      <top style="thin">
        <color indexed="8"/>
      </top>
      <bottom style="thin">
        <color indexed="8"/>
      </bottom>
      <diagonal/>
    </border>
    <border>
      <left/>
      <right style="thin">
        <color indexed="10"/>
      </right>
      <top style="thin">
        <color indexed="8"/>
      </top>
      <bottom style="thin">
        <color indexed="10"/>
      </bottom>
      <diagonal/>
    </border>
    <border>
      <left style="medium">
        <color indexed="8"/>
      </left>
      <right style="thin">
        <color indexed="15"/>
      </right>
      <top style="medium">
        <color indexed="8"/>
      </top>
      <bottom style="medium">
        <color indexed="8"/>
      </bottom>
      <diagonal/>
    </border>
    <border>
      <left style="thin">
        <color indexed="15"/>
      </left>
      <right style="thin">
        <color indexed="15"/>
      </right>
      <top style="medium">
        <color indexed="8"/>
      </top>
      <bottom style="medium">
        <color indexed="8"/>
      </bottom>
      <diagonal/>
    </border>
    <border>
      <left style="thin">
        <color indexed="15"/>
      </left>
      <right style="medium">
        <color indexed="8"/>
      </right>
      <top style="medium">
        <color indexed="8"/>
      </top>
      <bottom style="medium">
        <color indexed="8"/>
      </bottom>
      <diagonal/>
    </border>
    <border>
      <left style="thin">
        <color indexed="10"/>
      </left>
      <right/>
      <top style="thin">
        <color indexed="8"/>
      </top>
      <bottom/>
      <diagonal/>
    </border>
    <border>
      <left/>
      <right/>
      <top style="thin">
        <color indexed="8"/>
      </top>
      <bottom/>
      <diagonal/>
    </border>
    <border>
      <left style="thin">
        <color indexed="10"/>
      </left>
      <right/>
      <top/>
      <bottom style="thin">
        <color indexed="8"/>
      </bottom>
      <diagonal/>
    </border>
    <border>
      <left/>
      <right/>
      <top/>
      <bottom style="thin">
        <color indexed="8"/>
      </bottom>
      <diagonal/>
    </border>
    <border>
      <left style="thin">
        <color indexed="10"/>
      </left>
      <right/>
      <top style="thin">
        <color indexed="8"/>
      </top>
      <bottom style="thin">
        <color indexed="10"/>
      </bottom>
      <diagonal/>
    </border>
    <border>
      <left/>
      <right/>
      <top style="thin">
        <color indexed="8"/>
      </top>
      <bottom style="thin">
        <color indexed="10"/>
      </bottom>
      <diagonal/>
    </border>
    <border>
      <left style="thin">
        <color indexed="10"/>
      </left>
      <right/>
      <top style="thin">
        <color indexed="10"/>
      </top>
      <bottom/>
      <diagonal/>
    </border>
    <border>
      <left/>
      <right/>
      <top style="thin">
        <color indexed="10"/>
      </top>
      <bottom/>
      <diagonal/>
    </border>
  </borders>
  <cellStyleXfs count="1">
    <xf numFmtId="0" fontId="0" applyNumberFormat="0" applyFont="1" applyFill="0" applyBorder="0" applyAlignment="1" applyProtection="0">
      <alignment vertical="bottom"/>
    </xf>
  </cellStyleXfs>
  <cellXfs count="384">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vertical="bottom"/>
    </xf>
    <xf numFmtId="2" fontId="0" fillId="2" borderId="2" applyNumberFormat="1" applyFont="1" applyFill="1" applyBorder="1" applyAlignment="1" applyProtection="0">
      <alignment vertical="bottom"/>
    </xf>
    <xf numFmtId="1" fontId="0" fillId="2" borderId="2" applyNumberFormat="1" applyFont="1" applyFill="1" applyBorder="1" applyAlignment="1" applyProtection="0">
      <alignment vertical="bottom"/>
    </xf>
    <xf numFmtId="59" fontId="0" fillId="2" borderId="3" applyNumberFormat="1" applyFont="1" applyFill="1" applyBorder="1" applyAlignment="1" applyProtection="0">
      <alignment vertical="bottom"/>
    </xf>
    <xf numFmtId="2" fontId="0" fillId="2" borderId="4" applyNumberFormat="1" applyFont="1" applyFill="1" applyBorder="1" applyAlignment="1" applyProtection="0">
      <alignment vertical="bottom"/>
    </xf>
    <xf numFmtId="2" fontId="0" fillId="2" borderId="5" applyNumberFormat="1" applyFont="1" applyFill="1" applyBorder="1" applyAlignment="1" applyProtection="0">
      <alignment vertical="bottom"/>
    </xf>
    <xf numFmtId="0" fontId="0" fillId="2" borderId="5" applyNumberFormat="0" applyFont="1" applyFill="1" applyBorder="1" applyAlignment="1" applyProtection="0">
      <alignment vertical="bottom"/>
    </xf>
    <xf numFmtId="2" fontId="0" fillId="2" borderId="6" applyNumberFormat="1" applyFont="1" applyFill="1" applyBorder="1" applyAlignment="1" applyProtection="0">
      <alignment vertical="bottom"/>
    </xf>
    <xf numFmtId="2" fontId="0" fillId="2" borderId="7" applyNumberFormat="1" applyFont="1" applyFill="1" applyBorder="1" applyAlignment="1" applyProtection="0">
      <alignment vertical="bottom"/>
    </xf>
    <xf numFmtId="1" fontId="0" fillId="2" borderId="7" applyNumberFormat="1" applyFont="1" applyFill="1" applyBorder="1" applyAlignment="1" applyProtection="0">
      <alignment vertical="bottom"/>
    </xf>
    <xf numFmtId="59" fontId="0" fillId="2" borderId="8" applyNumberFormat="1" applyFont="1" applyFill="1" applyBorder="1" applyAlignment="1" applyProtection="0">
      <alignment vertical="bottom"/>
    </xf>
    <xf numFmtId="49" fontId="0" fillId="2" borderId="5" applyNumberFormat="1" applyFont="1" applyFill="1" applyBorder="1" applyAlignment="1" applyProtection="0">
      <alignment vertical="bottom"/>
    </xf>
    <xf numFmtId="1" fontId="0" fillId="2" borderId="9" applyNumberFormat="1" applyFont="1" applyFill="1" applyBorder="1" applyAlignment="1" applyProtection="0">
      <alignment vertical="bottom"/>
    </xf>
    <xf numFmtId="2" fontId="0" fillId="2" borderId="9" applyNumberFormat="1" applyFont="1" applyFill="1" applyBorder="1" applyAlignment="1" applyProtection="0">
      <alignment vertical="bottom"/>
    </xf>
    <xf numFmtId="59" fontId="0" fillId="2" borderId="9" applyNumberFormat="1" applyFont="1" applyFill="1" applyBorder="1" applyAlignment="1" applyProtection="0">
      <alignment vertical="bottom"/>
    </xf>
    <xf numFmtId="1" fontId="0" fillId="2" borderId="10" applyNumberFormat="1" applyFont="1" applyFill="1" applyBorder="1" applyAlignment="1" applyProtection="0">
      <alignment vertical="bottom"/>
    </xf>
    <xf numFmtId="49" fontId="3" fillId="2" borderId="9" applyNumberFormat="1" applyFont="1" applyFill="1" applyBorder="1" applyAlignment="1" applyProtection="0">
      <alignment horizontal="center" vertical="bottom"/>
    </xf>
    <xf numFmtId="2" fontId="0" fillId="2" borderId="11" applyNumberFormat="1" applyFont="1" applyFill="1" applyBorder="1" applyAlignment="1" applyProtection="0">
      <alignment vertical="bottom"/>
    </xf>
    <xf numFmtId="49" fontId="0" fillId="2" borderId="12" applyNumberFormat="1" applyFont="1" applyFill="1" applyBorder="1" applyAlignment="1" applyProtection="0">
      <alignment vertical="bottom"/>
    </xf>
    <xf numFmtId="1" fontId="0" fillId="2" borderId="1" applyNumberFormat="1" applyFont="1" applyFill="1" applyBorder="1" applyAlignment="1" applyProtection="0">
      <alignment vertical="bottom"/>
    </xf>
    <xf numFmtId="1" fontId="0" fillId="2" borderId="3" applyNumberFormat="1" applyFont="1" applyFill="1" applyBorder="1" applyAlignment="1" applyProtection="0">
      <alignment horizontal="left" vertical="bottom"/>
    </xf>
    <xf numFmtId="49" fontId="0" fillId="2" borderId="13" applyNumberFormat="1" applyFont="1" applyFill="1" applyBorder="1" applyAlignment="1" applyProtection="0">
      <alignment vertical="bottom"/>
    </xf>
    <xf numFmtId="1" fontId="0" fillId="2" borderId="6" applyNumberFormat="1" applyFont="1" applyFill="1" applyBorder="1" applyAlignment="1" applyProtection="0">
      <alignment vertical="bottom"/>
    </xf>
    <xf numFmtId="59" fontId="0" fillId="2" borderId="8" applyNumberFormat="1" applyFont="1" applyFill="1" applyBorder="1" applyAlignment="1" applyProtection="0">
      <alignment horizontal="left" vertical="bottom"/>
    </xf>
    <xf numFmtId="0" fontId="0" fillId="2" borderId="2" applyNumberFormat="0" applyFont="1" applyFill="1" applyBorder="1" applyAlignment="1" applyProtection="0">
      <alignment vertical="bottom"/>
    </xf>
    <xf numFmtId="59" fontId="0" fillId="2" borderId="2" applyNumberFormat="1" applyFont="1" applyFill="1" applyBorder="1" applyAlignment="1" applyProtection="0">
      <alignment horizontal="left" vertical="bottom"/>
    </xf>
    <xf numFmtId="1" fontId="0" fillId="2" borderId="5" applyNumberFormat="1" applyFont="1" applyFill="1" applyBorder="1" applyAlignment="1" applyProtection="0">
      <alignment vertical="bottom"/>
    </xf>
    <xf numFmtId="59" fontId="0" fillId="2" borderId="5" applyNumberFormat="1" applyFont="1" applyFill="1" applyBorder="1" applyAlignment="1" applyProtection="0">
      <alignment horizontal="left" vertical="bottom"/>
    </xf>
    <xf numFmtId="59" fontId="0" fillId="2" borderId="7" applyNumberFormat="1" applyFont="1" applyFill="1" applyBorder="1" applyAlignment="1" applyProtection="0">
      <alignment vertical="bottom"/>
    </xf>
    <xf numFmtId="49" fontId="4" fillId="2" borderId="10" applyNumberFormat="1" applyFont="1" applyFill="1" applyBorder="1" applyAlignment="1" applyProtection="0">
      <alignment horizontal="left" vertical="bottom"/>
    </xf>
    <xf numFmtId="0" fontId="0" fillId="2" borderId="11" applyNumberFormat="0" applyFont="1" applyFill="1" applyBorder="1" applyAlignment="1" applyProtection="0">
      <alignment vertical="bottom"/>
    </xf>
    <xf numFmtId="49" fontId="5" fillId="2" borderId="10" applyNumberFormat="1" applyFont="1" applyFill="1" applyBorder="1" applyAlignment="1" applyProtection="0">
      <alignment vertical="bottom"/>
    </xf>
    <xf numFmtId="49" fontId="5" fillId="2" borderId="11" applyNumberFormat="1" applyFont="1" applyFill="1" applyBorder="1" applyAlignment="1" applyProtection="0">
      <alignment vertical="bottom"/>
    </xf>
    <xf numFmtId="49" fontId="5" fillId="3" borderId="14" applyNumberFormat="1" applyFont="1" applyFill="1" applyBorder="1" applyAlignment="1" applyProtection="0">
      <alignment vertical="bottom"/>
    </xf>
    <xf numFmtId="49" fontId="5" fillId="3" borderId="15" applyNumberFormat="1" applyFont="1" applyFill="1" applyBorder="1" applyAlignment="1" applyProtection="0">
      <alignment vertical="bottom"/>
    </xf>
    <xf numFmtId="49" fontId="5" fillId="4" borderId="14" applyNumberFormat="1" applyFont="1" applyFill="1" applyBorder="1" applyAlignment="1" applyProtection="0">
      <alignment vertical="bottom"/>
    </xf>
    <xf numFmtId="49" fontId="5" fillId="4" borderId="15" applyNumberFormat="1" applyFont="1" applyFill="1" applyBorder="1" applyAlignment="1" applyProtection="0">
      <alignment vertical="bottom"/>
    </xf>
    <xf numFmtId="49" fontId="6" fillId="2" borderId="12" applyNumberFormat="1" applyFont="1" applyFill="1" applyBorder="1" applyAlignment="1" applyProtection="0">
      <alignment horizontal="center" vertical="bottom"/>
    </xf>
    <xf numFmtId="49" fontId="6" fillId="2" borderId="1" applyNumberFormat="1" applyFont="1" applyFill="1" applyBorder="1" applyAlignment="1" applyProtection="0">
      <alignment horizontal="center" vertical="bottom"/>
    </xf>
    <xf numFmtId="49" fontId="6" fillId="2" borderId="3" applyNumberFormat="1" applyFont="1" applyFill="1" applyBorder="1" applyAlignment="1" applyProtection="0">
      <alignment horizontal="right" vertical="bottom"/>
    </xf>
    <xf numFmtId="49" fontId="6" fillId="2" borderId="1" applyNumberFormat="1" applyFont="1" applyFill="1" applyBorder="1" applyAlignment="1" applyProtection="0">
      <alignment horizontal="right" vertical="bottom"/>
    </xf>
    <xf numFmtId="1" fontId="6" fillId="2" borderId="3" applyNumberFormat="1" applyFont="1" applyFill="1" applyBorder="1" applyAlignment="1" applyProtection="0">
      <alignment horizontal="right" vertical="bottom"/>
    </xf>
    <xf numFmtId="2" fontId="0" fillId="2" borderId="4" applyNumberFormat="1" applyFont="1" applyFill="1" applyBorder="1" applyAlignment="1" applyProtection="0">
      <alignment horizontal="center" vertical="bottom"/>
    </xf>
    <xf numFmtId="2" fontId="0" fillId="2" borderId="5" applyNumberFormat="1" applyFont="1" applyFill="1" applyBorder="1" applyAlignment="1" applyProtection="0">
      <alignment horizontal="center" vertical="bottom"/>
    </xf>
    <xf numFmtId="49" fontId="6" fillId="2" borderId="13" applyNumberFormat="1" applyFont="1" applyFill="1" applyBorder="1" applyAlignment="1" applyProtection="0">
      <alignment horizontal="center" vertical="bottom"/>
    </xf>
    <xf numFmtId="49" fontId="6" fillId="2" borderId="6" applyNumberFormat="1" applyFont="1" applyFill="1" applyBorder="1" applyAlignment="1" applyProtection="0">
      <alignment horizontal="center" vertical="bottom"/>
    </xf>
    <xf numFmtId="49" fontId="6" fillId="2" borderId="8" applyNumberFormat="1" applyFont="1" applyFill="1" applyBorder="1" applyAlignment="1" applyProtection="0">
      <alignment horizontal="center" vertical="bottom"/>
    </xf>
    <xf numFmtId="49" fontId="0" fillId="2" borderId="5" applyNumberFormat="1" applyFont="1" applyFill="1" applyBorder="1" applyAlignment="1" applyProtection="0">
      <alignment horizontal="center" vertical="bottom"/>
    </xf>
    <xf numFmtId="0" fontId="0" fillId="2" borderId="5" applyNumberFormat="0" applyFont="1" applyFill="1" applyBorder="1" applyAlignment="1" applyProtection="0">
      <alignment horizontal="center" vertical="bottom"/>
    </xf>
    <xf numFmtId="1" fontId="0" fillId="2" borderId="12" applyNumberFormat="1" applyFont="1" applyFill="1" applyBorder="1" applyAlignment="1" applyProtection="0">
      <alignment horizontal="center" vertical="bottom"/>
    </xf>
    <xf numFmtId="1" fontId="0" fillId="2" borderId="1" applyNumberFormat="1" applyFont="1" applyFill="1" applyBorder="1" applyAlignment="1" applyProtection="0">
      <alignment horizontal="right" vertical="bottom"/>
    </xf>
    <xf numFmtId="59" fontId="0" fillId="2" borderId="3" applyNumberFormat="1" applyFont="1" applyFill="1" applyBorder="1" applyAlignment="1" applyProtection="0">
      <alignment horizontal="left" vertical="bottom"/>
    </xf>
    <xf numFmtId="0" fontId="0" fillId="2" borderId="1" applyNumberFormat="1" applyFont="1" applyFill="1" applyBorder="1" applyAlignment="1" applyProtection="0">
      <alignment vertical="bottom"/>
    </xf>
    <xf numFmtId="60" fontId="0" fillId="2" borderId="4" applyNumberFormat="1" applyFont="1" applyFill="1" applyBorder="1" applyAlignment="1" applyProtection="0">
      <alignment horizontal="center" vertical="bottom"/>
    </xf>
    <xf numFmtId="1" fontId="0" fillId="2" borderId="5" applyNumberFormat="1" applyFont="1" applyFill="1" applyBorder="1" applyAlignment="1" applyProtection="0">
      <alignment horizontal="center" vertical="bottom"/>
    </xf>
    <xf numFmtId="61" fontId="0" fillId="2" borderId="5" applyNumberFormat="1" applyFont="1" applyFill="1" applyBorder="1" applyAlignment="1" applyProtection="0">
      <alignment horizontal="center" vertical="bottom"/>
    </xf>
    <xf numFmtId="61" fontId="7" fillId="2" borderId="5" applyNumberFormat="1" applyFont="1" applyFill="1" applyBorder="1" applyAlignment="1" applyProtection="0">
      <alignment vertical="bottom"/>
    </xf>
    <xf numFmtId="60" fontId="0" fillId="2" borderId="5" applyNumberFormat="1" applyFont="1" applyFill="1" applyBorder="1" applyAlignment="1" applyProtection="0">
      <alignment horizontal="center" vertical="bottom"/>
    </xf>
    <xf numFmtId="1" fontId="0" fillId="2" borderId="16" applyNumberFormat="1" applyFont="1" applyFill="1" applyBorder="1" applyAlignment="1" applyProtection="0">
      <alignment horizontal="center" vertical="bottom"/>
    </xf>
    <xf numFmtId="1" fontId="0" fillId="2" borderId="4" applyNumberFormat="1" applyFont="1" applyFill="1" applyBorder="1" applyAlignment="1" applyProtection="0">
      <alignment horizontal="right" vertical="bottom"/>
    </xf>
    <xf numFmtId="59" fontId="0" fillId="2" borderId="17" applyNumberFormat="1" applyFont="1" applyFill="1" applyBorder="1" applyAlignment="1" applyProtection="0">
      <alignment horizontal="left" vertical="bottom"/>
    </xf>
    <xf numFmtId="0" fontId="0" fillId="2" borderId="4" applyNumberFormat="1" applyFont="1" applyFill="1" applyBorder="1" applyAlignment="1" applyProtection="0">
      <alignment vertical="bottom"/>
    </xf>
    <xf numFmtId="61" fontId="0" fillId="2" borderId="5" applyNumberFormat="1" applyFont="1" applyFill="1" applyBorder="1" applyAlignment="1" applyProtection="0">
      <alignment vertical="bottom"/>
    </xf>
    <xf numFmtId="1" fontId="0" fillId="2" borderId="4" applyNumberFormat="1" applyFont="1" applyFill="1" applyBorder="1" applyAlignment="1" applyProtection="0">
      <alignment vertical="bottom"/>
    </xf>
    <xf numFmtId="0" fontId="0" fillId="2" borderId="16" applyNumberFormat="1" applyFont="1" applyFill="1" applyBorder="1" applyAlignment="1" applyProtection="0">
      <alignment horizontal="center" vertical="bottom"/>
    </xf>
    <xf numFmtId="59" fontId="0" fillId="2" borderId="4" applyNumberFormat="1" applyFont="1" applyFill="1" applyBorder="1" applyAlignment="1" applyProtection="0">
      <alignment horizontal="left" vertical="bottom"/>
    </xf>
    <xf numFmtId="2" fontId="0" fillId="2" borderId="4" applyNumberFormat="1" applyFont="1" applyFill="1" applyBorder="1" applyAlignment="1" applyProtection="0">
      <alignment horizontal="right" vertical="bottom"/>
    </xf>
    <xf numFmtId="59" fontId="0" fillId="2" borderId="17" applyNumberFormat="1" applyFont="1" applyFill="1" applyBorder="1" applyAlignment="1" applyProtection="0">
      <alignment vertical="bottom"/>
    </xf>
    <xf numFmtId="1" fontId="0" fillId="2" borderId="13" applyNumberFormat="1" applyFont="1" applyFill="1" applyBorder="1" applyAlignment="1" applyProtection="0">
      <alignment horizontal="center" vertical="bottom"/>
    </xf>
    <xf numFmtId="59" fontId="0" fillId="2" borderId="6" applyNumberFormat="1" applyFont="1" applyFill="1" applyBorder="1" applyAlignment="1" applyProtection="0">
      <alignment horizontal="left" vertical="bottom"/>
    </xf>
    <xf numFmtId="2" fontId="0" fillId="2" borderId="6" applyNumberFormat="1" applyFont="1" applyFill="1" applyBorder="1" applyAlignment="1" applyProtection="0">
      <alignment horizontal="right" vertical="bottom"/>
    </xf>
    <xf numFmtId="1" fontId="0" fillId="2" borderId="6" applyNumberFormat="1" applyFont="1" applyFill="1" applyBorder="1" applyAlignment="1" applyProtection="0">
      <alignment horizontal="right" vertical="bottom"/>
    </xf>
    <xf numFmtId="0" fontId="0" fillId="2" borderId="6" applyNumberFormat="1" applyFont="1" applyFill="1" applyBorder="1" applyAlignment="1" applyProtection="0">
      <alignment vertical="bottom"/>
    </xf>
    <xf numFmtId="60" fontId="0" fillId="2" borderId="2" applyNumberFormat="1" applyFont="1" applyFill="1" applyBorder="1" applyAlignment="1" applyProtection="0">
      <alignment horizontal="center" vertical="bottom"/>
    </xf>
    <xf numFmtId="1" fontId="8" fillId="2" borderId="5" applyNumberFormat="1" applyFont="1" applyFill="1" applyBorder="1" applyAlignment="1" applyProtection="0">
      <alignment vertical="bottom"/>
    </xf>
    <xf numFmtId="59" fontId="0" fillId="2" borderId="5" applyNumberFormat="1" applyFont="1" applyFill="1" applyBorder="1" applyAlignment="1" applyProtection="0">
      <alignment vertical="bottom"/>
    </xf>
    <xf numFmtId="49" fontId="7" fillId="2" borderId="5" applyNumberFormat="1" applyFont="1" applyFill="1" applyBorder="1" applyAlignment="1" applyProtection="0">
      <alignment horizontal="center" vertical="bottom"/>
    </xf>
    <xf numFmtId="1" fontId="0" fillId="2" borderId="4" applyNumberFormat="1" applyFont="1" applyFill="1" applyBorder="1" applyAlignment="1" applyProtection="0">
      <alignment horizontal="center" vertical="bottom"/>
    </xf>
    <xf numFmtId="2" fontId="8" fillId="2" borderId="5" applyNumberFormat="1" applyFont="1" applyFill="1" applyBorder="1" applyAlignment="1" applyProtection="0">
      <alignment horizontal="center" vertical="bottom"/>
    </xf>
    <xf numFmtId="1" fontId="7" fillId="2" borderId="5" applyNumberFormat="1" applyFont="1" applyFill="1" applyBorder="1" applyAlignment="1" applyProtection="0">
      <alignment horizontal="left" vertical="bottom"/>
    </xf>
    <xf numFmtId="59" fontId="7" fillId="2" borderId="5" applyNumberFormat="1" applyFont="1" applyFill="1" applyBorder="1" applyAlignment="1" applyProtection="0">
      <alignment horizontal="left" vertical="bottom"/>
    </xf>
    <xf numFmtId="2" fontId="9" fillId="2" borderId="5" applyNumberFormat="1" applyFont="1" applyFill="1" applyBorder="1" applyAlignment="1" applyProtection="0">
      <alignment horizontal="center" vertical="bottom"/>
    </xf>
    <xf numFmtId="1" fontId="9" fillId="2" borderId="5" applyNumberFormat="1" applyFont="1" applyFill="1" applyBorder="1" applyAlignment="1" applyProtection="0">
      <alignment horizontal="right" vertical="bottom"/>
    </xf>
    <xf numFmtId="0" fontId="7" fillId="2" borderId="5" applyNumberFormat="0" applyFont="1" applyFill="1" applyBorder="1" applyAlignment="1" applyProtection="0">
      <alignment horizontal="center" vertical="bottom"/>
    </xf>
    <xf numFmtId="1" fontId="9" fillId="2" borderId="5" applyNumberFormat="1" applyFont="1" applyFill="1" applyBorder="1" applyAlignment="1" applyProtection="0">
      <alignment horizontal="center" vertical="bottom"/>
    </xf>
    <xf numFmtId="1" fontId="7" fillId="2" borderId="5" applyNumberFormat="1" applyFont="1" applyFill="1" applyBorder="1" applyAlignment="1" applyProtection="0">
      <alignment horizontal="right" vertical="bottom"/>
    </xf>
    <xf numFmtId="0" fontId="0" fillId="2" borderId="4" applyNumberFormat="1" applyFont="1" applyFill="1" applyBorder="1" applyAlignment="1" applyProtection="0">
      <alignment horizontal="center" vertical="bottom"/>
    </xf>
    <xf numFmtId="1" fontId="0" fillId="2" borderId="6" applyNumberFormat="1" applyFont="1" applyFill="1" applyBorder="1" applyAlignment="1" applyProtection="0">
      <alignment horizontal="center" vertical="bottom"/>
    </xf>
    <xf numFmtId="1" fontId="7" fillId="2" borderId="2" applyNumberFormat="1" applyFont="1" applyFill="1" applyBorder="1" applyAlignment="1" applyProtection="0">
      <alignment horizontal="center" vertical="bottom"/>
    </xf>
    <xf numFmtId="1" fontId="7" fillId="2" borderId="5" applyNumberFormat="1" applyFont="1" applyFill="1" applyBorder="1" applyAlignment="1" applyProtection="0">
      <alignment horizontal="center"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fillId="2" borderId="18" applyNumberFormat="0" applyFont="1" applyFill="1" applyBorder="1" applyAlignment="1" applyProtection="0">
      <alignment vertical="bottom"/>
    </xf>
    <xf numFmtId="49" fontId="10" fillId="2" borderId="19" applyNumberFormat="1" applyFont="1" applyFill="1" applyBorder="1" applyAlignment="1" applyProtection="0">
      <alignment horizontal="center" vertical="bottom"/>
    </xf>
    <xf numFmtId="0" fontId="10" fillId="2" borderId="20" applyNumberFormat="0" applyFont="1" applyFill="1" applyBorder="1" applyAlignment="1" applyProtection="0">
      <alignment horizontal="center" vertical="bottom"/>
    </xf>
    <xf numFmtId="0" fontId="10" fillId="2" borderId="21" applyNumberFormat="0" applyFont="1" applyFill="1" applyBorder="1" applyAlignment="1" applyProtection="0">
      <alignment horizontal="center" vertical="bottom"/>
    </xf>
    <xf numFmtId="0" fontId="0" fillId="2" borderId="22" applyNumberFormat="0" applyFont="1" applyFill="1" applyBorder="1" applyAlignment="1" applyProtection="0">
      <alignment vertical="bottom"/>
    </xf>
    <xf numFmtId="49" fontId="11" fillId="2" borderId="23" applyNumberFormat="1" applyFont="1" applyFill="1" applyBorder="1" applyAlignment="1" applyProtection="0">
      <alignment vertical="center"/>
    </xf>
    <xf numFmtId="49" fontId="11" fillId="2" borderId="20" applyNumberFormat="1" applyFont="1" applyFill="1" applyBorder="1" applyAlignment="1" applyProtection="0">
      <alignment vertical="center"/>
    </xf>
    <xf numFmtId="49" fontId="11" fillId="2" borderId="24" applyNumberFormat="1" applyFont="1" applyFill="1" applyBorder="1" applyAlignment="1" applyProtection="0">
      <alignment vertical="center"/>
    </xf>
    <xf numFmtId="49" fontId="11" fillId="2" borderId="25" applyNumberFormat="1" applyFont="1" applyFill="1" applyBorder="1" applyAlignment="1" applyProtection="0">
      <alignment vertical="center"/>
    </xf>
    <xf numFmtId="0" fontId="11" fillId="2" borderId="20" applyNumberFormat="0" applyFont="1" applyFill="1" applyBorder="1" applyAlignment="1" applyProtection="0">
      <alignment vertical="center"/>
    </xf>
    <xf numFmtId="0" fontId="11" fillId="2" borderId="24" applyNumberFormat="0" applyFont="1" applyFill="1" applyBorder="1" applyAlignment="1" applyProtection="0">
      <alignment vertical="center"/>
    </xf>
    <xf numFmtId="0" fontId="0" fillId="2" borderId="4" applyNumberFormat="0" applyFont="1" applyFill="1" applyBorder="1" applyAlignment="1" applyProtection="0">
      <alignment vertical="bottom"/>
    </xf>
    <xf numFmtId="49" fontId="0" fillId="2" borderId="26" applyNumberFormat="1" applyFont="1" applyFill="1" applyBorder="1" applyAlignment="1" applyProtection="0">
      <alignment vertical="bottom"/>
    </xf>
    <xf numFmtId="0" fontId="12" fillId="2" borderId="19" applyNumberFormat="0" applyFont="1" applyFill="1" applyBorder="1" applyAlignment="1" applyProtection="0">
      <alignment horizontal="center" vertical="bottom"/>
    </xf>
    <xf numFmtId="0" fontId="12" fillId="2" borderId="20" applyNumberFormat="0" applyFont="1" applyFill="1" applyBorder="1" applyAlignment="1" applyProtection="0">
      <alignment horizontal="center" vertical="bottom"/>
    </xf>
    <xf numFmtId="0" fontId="12" fillId="2" borderId="21" applyNumberFormat="0" applyFont="1" applyFill="1" applyBorder="1" applyAlignment="1" applyProtection="0">
      <alignment horizontal="center" vertical="bottom"/>
    </xf>
    <xf numFmtId="0" fontId="12" fillId="2" borderId="9" applyNumberFormat="0" applyFont="1" applyFill="1" applyBorder="1" applyAlignment="1" applyProtection="0">
      <alignment vertical="bottom"/>
    </xf>
    <xf numFmtId="0" fontId="0" fillId="2" borderId="27" applyNumberFormat="0" applyFont="1" applyFill="1" applyBorder="1" applyAlignment="1" applyProtection="0">
      <alignment vertical="bottom"/>
    </xf>
    <xf numFmtId="62" fontId="0" fillId="2" borderId="27" applyNumberFormat="1" applyFont="1" applyFill="1" applyBorder="1" applyAlignment="1" applyProtection="0">
      <alignment vertical="bottom"/>
    </xf>
    <xf numFmtId="14" fontId="12" fillId="2" borderId="27" applyNumberFormat="1" applyFont="1" applyFill="1" applyBorder="1" applyAlignment="1" applyProtection="0">
      <alignment horizontal="center" vertical="bottom"/>
    </xf>
    <xf numFmtId="0" fontId="0" fillId="2" borderId="28" applyNumberFormat="0" applyFont="1" applyFill="1" applyBorder="1" applyAlignment="1" applyProtection="0">
      <alignment vertical="bottom"/>
    </xf>
    <xf numFmtId="49" fontId="0" fillId="2" borderId="29" applyNumberFormat="1" applyFont="1" applyFill="1" applyBorder="1" applyAlignment="1" applyProtection="0">
      <alignment vertical="bottom"/>
    </xf>
    <xf numFmtId="14" fontId="13" fillId="2" borderId="10" applyNumberFormat="1" applyFont="1" applyFill="1" applyBorder="1" applyAlignment="1" applyProtection="0">
      <alignment horizontal="center" vertical="bottom"/>
    </xf>
    <xf numFmtId="14" fontId="13" fillId="2" borderId="9" applyNumberFormat="1" applyFont="1" applyFill="1" applyBorder="1" applyAlignment="1" applyProtection="0">
      <alignment horizontal="center" vertical="bottom"/>
    </xf>
    <xf numFmtId="0" fontId="0" fillId="2" borderId="11" applyNumberFormat="0" applyFont="1" applyFill="1" applyBorder="1" applyAlignment="1" applyProtection="0">
      <alignment horizontal="center" vertical="bottom"/>
    </xf>
    <xf numFmtId="0" fontId="0" fillId="2" borderId="17" applyNumberFormat="0" applyFont="1" applyFill="1" applyBorder="1" applyAlignment="1" applyProtection="0">
      <alignment vertical="bottom"/>
    </xf>
    <xf numFmtId="49" fontId="13" fillId="2" borderId="10" applyNumberFormat="1" applyFont="1" applyFill="1" applyBorder="1" applyAlignment="1" applyProtection="0">
      <alignment horizontal="center" vertical="bottom"/>
    </xf>
    <xf numFmtId="0" fontId="13" fillId="2" borderId="11" applyNumberFormat="0" applyFont="1" applyFill="1" applyBorder="1" applyAlignment="1" applyProtection="0">
      <alignment horizontal="center" vertical="bottom"/>
    </xf>
    <xf numFmtId="14" fontId="0" fillId="2" borderId="30" applyNumberFormat="1" applyFont="1" applyFill="1" applyBorder="1" applyAlignment="1" applyProtection="0">
      <alignment vertical="bottom"/>
    </xf>
    <xf numFmtId="0" fontId="0" fillId="2" borderId="31" applyNumberFormat="0" applyFont="1" applyFill="1" applyBorder="1" applyAlignment="1" applyProtection="0">
      <alignment vertical="bottom"/>
    </xf>
    <xf numFmtId="0" fontId="0" fillId="2" borderId="30" applyNumberFormat="0" applyFont="1" applyFill="1" applyBorder="1" applyAlignment="1" applyProtection="0">
      <alignment vertical="bottom"/>
    </xf>
    <xf numFmtId="2" fontId="0" fillId="2" borderId="30" applyNumberFormat="1" applyFont="1" applyFill="1" applyBorder="1" applyAlignment="1" applyProtection="0">
      <alignment vertical="bottom"/>
    </xf>
    <xf numFmtId="0" fontId="0" fillId="2" borderId="32" applyNumberFormat="0" applyFont="1" applyFill="1" applyBorder="1" applyAlignment="1" applyProtection="0">
      <alignment vertical="bottom"/>
    </xf>
    <xf numFmtId="49" fontId="14" fillId="5" borderId="33" applyNumberFormat="1" applyFont="1" applyFill="1" applyBorder="1" applyAlignment="1" applyProtection="0">
      <alignment horizontal="center" vertical="bottom"/>
    </xf>
    <xf numFmtId="0" fontId="14" fillId="5" borderId="33" applyNumberFormat="0" applyFont="1" applyFill="1" applyBorder="1" applyAlignment="1" applyProtection="0">
      <alignment horizontal="center" vertical="bottom"/>
    </xf>
    <xf numFmtId="1" fontId="14" fillId="2" borderId="34" applyNumberFormat="1" applyFont="1" applyFill="1" applyBorder="1" applyAlignment="1" applyProtection="0">
      <alignment horizontal="center" vertical="bottom"/>
    </xf>
    <xf numFmtId="0" fontId="0" fillId="2" borderId="34" applyNumberFormat="0" applyFont="1" applyFill="1" applyBorder="1" applyAlignment="1" applyProtection="0">
      <alignment vertical="bottom"/>
    </xf>
    <xf numFmtId="2" fontId="0" fillId="2" borderId="35" applyNumberFormat="1" applyFont="1" applyFill="1" applyBorder="1" applyAlignment="1" applyProtection="0">
      <alignment vertical="bottom"/>
    </xf>
    <xf numFmtId="49" fontId="3" fillId="2" borderId="32" applyNumberFormat="1" applyFont="1" applyFill="1" applyBorder="1" applyAlignment="1" applyProtection="0">
      <alignment horizontal="left" vertical="bottom"/>
    </xf>
    <xf numFmtId="49" fontId="3" fillId="5" borderId="33" applyNumberFormat="1" applyFont="1" applyFill="1" applyBorder="1" applyAlignment="1" applyProtection="0">
      <alignment horizontal="center" vertical="bottom"/>
    </xf>
    <xf numFmtId="49" fontId="3" fillId="2" borderId="36" applyNumberFormat="1" applyFont="1" applyFill="1" applyBorder="1" applyAlignment="1" applyProtection="0">
      <alignment horizontal="center" vertical="bottom"/>
    </xf>
    <xf numFmtId="49" fontId="0" fillId="5" borderId="33" applyNumberFormat="1" applyFont="1" applyFill="1" applyBorder="1" applyAlignment="1" applyProtection="0">
      <alignment horizontal="center" vertical="bottom"/>
    </xf>
    <xf numFmtId="49" fontId="0" fillId="2" borderId="35" applyNumberFormat="1" applyFont="1" applyFill="1" applyBorder="1" applyAlignment="1" applyProtection="0">
      <alignment horizontal="center" vertical="bottom"/>
    </xf>
    <xf numFmtId="49" fontId="3" fillId="2" borderId="32" applyNumberFormat="1" applyFont="1" applyFill="1" applyBorder="1" applyAlignment="1" applyProtection="0">
      <alignment horizontal="center" vertical="bottom"/>
    </xf>
    <xf numFmtId="60" fontId="3" fillId="5" borderId="33" applyNumberFormat="1" applyFont="1" applyFill="1" applyBorder="1" applyAlignment="1" applyProtection="0">
      <alignment horizontal="center" vertical="bottom"/>
    </xf>
    <xf numFmtId="60" fontId="3" fillId="2" borderId="35" applyNumberFormat="1" applyFont="1" applyFill="1" applyBorder="1" applyAlignment="1" applyProtection="0">
      <alignment horizontal="center" vertical="bottom"/>
    </xf>
    <xf numFmtId="0" fontId="3" fillId="2" borderId="32" applyNumberFormat="0" applyFont="1" applyFill="1" applyBorder="1" applyAlignment="1" applyProtection="0">
      <alignment horizontal="center" vertical="bottom"/>
    </xf>
    <xf numFmtId="60" fontId="3" fillId="2" borderId="37" applyNumberFormat="1" applyFont="1" applyFill="1" applyBorder="1" applyAlignment="1" applyProtection="0">
      <alignment horizontal="center" vertical="bottom"/>
    </xf>
    <xf numFmtId="0" fontId="3" fillId="2" borderId="5" applyNumberFormat="0" applyFont="1" applyFill="1" applyBorder="1" applyAlignment="1" applyProtection="0">
      <alignment horizontal="center" vertical="bottom"/>
    </xf>
    <xf numFmtId="14" fontId="0" fillId="2" borderId="38" applyNumberFormat="1" applyFont="1" applyFill="1" applyBorder="1" applyAlignment="1" applyProtection="0">
      <alignment vertical="bottom"/>
    </xf>
    <xf numFmtId="0" fontId="0" fillId="2" borderId="35" applyNumberFormat="0" applyFont="1" applyFill="1" applyBorder="1" applyAlignment="1" applyProtection="0">
      <alignment vertical="bottom"/>
    </xf>
    <xf numFmtId="0" fontId="0" fillId="2" borderId="38" applyNumberFormat="0" applyFont="1" applyFill="1" applyBorder="1" applyAlignment="1" applyProtection="0">
      <alignment vertical="bottom"/>
    </xf>
    <xf numFmtId="0" fontId="14" fillId="2" borderId="38" applyNumberFormat="0" applyFont="1" applyFill="1" applyBorder="1" applyAlignment="1" applyProtection="0">
      <alignment vertical="bottom"/>
    </xf>
    <xf numFmtId="49" fontId="3" fillId="2" borderId="5" applyNumberFormat="1" applyFont="1" applyFill="1" applyBorder="1" applyAlignment="1" applyProtection="0">
      <alignment horizontal="left" vertical="bottom"/>
    </xf>
    <xf numFmtId="2" fontId="3" fillId="2" borderId="5" applyNumberFormat="1" applyFont="1" applyFill="1" applyBorder="1" applyAlignment="1" applyProtection="0">
      <alignment horizontal="center" vertical="bottom"/>
    </xf>
    <xf numFmtId="14" fontId="0" fillId="2" borderId="39" applyNumberFormat="1" applyFont="1" applyFill="1" applyBorder="1" applyAlignment="1" applyProtection="0">
      <alignment vertical="bottom"/>
    </xf>
    <xf numFmtId="0" fontId="0" fillId="2" borderId="39" applyNumberFormat="0" applyFont="1" applyFill="1" applyBorder="1" applyAlignment="1" applyProtection="0">
      <alignment vertical="bottom"/>
    </xf>
    <xf numFmtId="14" fontId="0" fillId="2" borderId="5" applyNumberFormat="1" applyFont="1" applyFill="1" applyBorder="1" applyAlignment="1" applyProtection="0">
      <alignment vertical="bottom"/>
    </xf>
    <xf numFmtId="1" fontId="3" fillId="2" borderId="5" applyNumberFormat="1" applyFont="1" applyFill="1" applyBorder="1" applyAlignment="1" applyProtection="0">
      <alignment horizontal="center" vertical="bottom"/>
    </xf>
    <xf numFmtId="60" fontId="3" fillId="2" borderId="5" applyNumberFormat="1" applyFont="1" applyFill="1" applyBorder="1" applyAlignment="1" applyProtection="0">
      <alignment horizontal="center" vertical="bottom"/>
    </xf>
    <xf numFmtId="0" fontId="14" fillId="2" borderId="5" applyNumberFormat="0" applyFont="1" applyFill="1" applyBorder="1" applyAlignment="1" applyProtection="0">
      <alignment vertical="bottom"/>
    </xf>
    <xf numFmtId="0" fontId="3" fillId="2" borderId="31" applyNumberFormat="0" applyFont="1" applyFill="1" applyBorder="1" applyAlignment="1" applyProtection="0">
      <alignment horizontal="center" vertical="bottom"/>
    </xf>
    <xf numFmtId="14" fontId="0" fillId="2" borderId="31" applyNumberFormat="1" applyFont="1" applyFill="1" applyBorder="1" applyAlignment="1" applyProtection="0">
      <alignment vertical="bottom"/>
    </xf>
    <xf numFmtId="0" fontId="14" fillId="2" borderId="31" applyNumberFormat="0" applyFont="1" applyFill="1" applyBorder="1" applyAlignment="1" applyProtection="0">
      <alignment vertical="bottom"/>
    </xf>
    <xf numFmtId="2" fontId="0" fillId="2" borderId="31" applyNumberFormat="1" applyFont="1" applyFill="1" applyBorder="1" applyAlignment="1" applyProtection="0">
      <alignment vertical="bottom"/>
    </xf>
    <xf numFmtId="49" fontId="14" fillId="5" borderId="40" applyNumberFormat="1" applyFont="1" applyFill="1" applyBorder="1" applyAlignment="1" applyProtection="0">
      <alignment horizontal="left" vertical="bottom"/>
    </xf>
    <xf numFmtId="0" fontId="0" fillId="5" borderId="33" applyNumberFormat="0" applyFont="1" applyFill="1" applyBorder="1" applyAlignment="1" applyProtection="0">
      <alignment horizontal="center" vertical="bottom"/>
    </xf>
    <xf numFmtId="0" fontId="0" fillId="5" borderId="33" applyNumberFormat="0" applyFont="1" applyFill="1" applyBorder="1" applyAlignment="1" applyProtection="0">
      <alignment vertical="bottom"/>
    </xf>
    <xf numFmtId="2" fontId="14" fillId="5" borderId="33" applyNumberFormat="1" applyFont="1" applyFill="1" applyBorder="1" applyAlignment="1" applyProtection="0">
      <alignment horizontal="center" vertical="bottom"/>
    </xf>
    <xf numFmtId="49" fontId="3" fillId="5" borderId="40" applyNumberFormat="1" applyFont="1" applyFill="1" applyBorder="1" applyAlignment="1" applyProtection="0">
      <alignment horizontal="center" vertical="bottom"/>
    </xf>
    <xf numFmtId="0" fontId="3" fillId="5" borderId="33" applyNumberFormat="0" applyFont="1" applyFill="1" applyBorder="1" applyAlignment="1" applyProtection="0">
      <alignment horizontal="center" vertical="bottom"/>
    </xf>
    <xf numFmtId="49" fontId="0" fillId="5" borderId="40" applyNumberFormat="1" applyFont="1" applyFill="1" applyBorder="1" applyAlignment="1" applyProtection="0">
      <alignment horizontal="center" vertical="bottom"/>
    </xf>
    <xf numFmtId="0" fontId="14" fillId="5" borderId="40" applyNumberFormat="1" applyFont="1" applyFill="1" applyBorder="1" applyAlignment="1" applyProtection="0">
      <alignment horizontal="right" vertical="bottom"/>
    </xf>
    <xf numFmtId="2" fontId="3" fillId="5" borderId="33" applyNumberFormat="1" applyFont="1" applyFill="1" applyBorder="1" applyAlignment="1" applyProtection="0">
      <alignment horizontal="center" vertical="bottom"/>
    </xf>
    <xf numFmtId="47" fontId="3" fillId="5" borderId="33" applyNumberFormat="1" applyFont="1" applyFill="1" applyBorder="1" applyAlignment="1" applyProtection="0">
      <alignment horizontal="center" vertical="bottom"/>
    </xf>
    <xf numFmtId="1" fontId="3" fillId="5" borderId="33" applyNumberFormat="1" applyFont="1" applyFill="1" applyBorder="1" applyAlignment="1" applyProtection="0">
      <alignment horizontal="center" vertical="bottom"/>
    </xf>
    <xf numFmtId="49" fontId="15" fillId="5" borderId="33" applyNumberFormat="1" applyFont="1" applyFill="1" applyBorder="1" applyAlignment="1" applyProtection="0">
      <alignment horizontal="left" vertical="bottom"/>
    </xf>
    <xf numFmtId="0" fontId="15" fillId="5" borderId="33" applyNumberFormat="0" applyFont="1" applyFill="1" applyBorder="1" applyAlignment="1" applyProtection="0">
      <alignment horizontal="left" vertical="bottom"/>
    </xf>
    <xf numFmtId="0" fontId="15" fillId="5" borderId="33" applyNumberFormat="0" applyFont="1" applyFill="1" applyBorder="1" applyAlignment="1" applyProtection="0">
      <alignment vertical="bottom"/>
    </xf>
    <xf numFmtId="0" fontId="16" fillId="2" borderId="35" applyNumberFormat="0" applyFont="1" applyFill="1" applyBorder="1" applyAlignment="1" applyProtection="0">
      <alignment vertical="bottom"/>
    </xf>
    <xf numFmtId="0" fontId="15" fillId="2" borderId="5" applyNumberFormat="0" applyFont="1" applyFill="1" applyBorder="1" applyAlignment="1" applyProtection="0">
      <alignment vertical="bottom"/>
    </xf>
    <xf numFmtId="0" fontId="17" fillId="2" borderId="39" applyNumberFormat="0" applyFont="1" applyFill="1" applyBorder="1" applyAlignment="1" applyProtection="0">
      <alignment vertical="bottom"/>
    </xf>
    <xf numFmtId="0" fontId="17" fillId="2" borderId="39" applyNumberFormat="0" applyFont="1" applyFill="1" applyBorder="1" applyAlignment="1" applyProtection="0">
      <alignment horizontal="center" vertical="bottom"/>
    </xf>
    <xf numFmtId="0" fontId="17" fillId="2" borderId="5" applyNumberFormat="0" applyFont="1" applyFill="1" applyBorder="1" applyAlignment="1" applyProtection="0">
      <alignment vertical="bottom"/>
    </xf>
    <xf numFmtId="0" fontId="17" fillId="2" borderId="5" applyNumberFormat="0" applyFont="1" applyFill="1" applyBorder="1" applyAlignment="1" applyProtection="0">
      <alignment horizontal="center" vertical="bottom"/>
    </xf>
    <xf numFmtId="49" fontId="3" fillId="2" borderId="5" applyNumberFormat="1" applyFont="1" applyFill="1" applyBorder="1" applyAlignment="1" applyProtection="0">
      <alignment vertical="bottom"/>
    </xf>
    <xf numFmtId="49" fontId="14" fillId="2" borderId="5" applyNumberFormat="1" applyFont="1" applyFill="1" applyBorder="1" applyAlignment="1" applyProtection="0">
      <alignment horizontal="left" vertical="bottom"/>
    </xf>
    <xf numFmtId="0" fontId="14" fillId="2" borderId="5" applyNumberFormat="0" applyFont="1" applyFill="1" applyBorder="1" applyAlignment="1" applyProtection="0">
      <alignment horizontal="center" vertical="bottom"/>
    </xf>
    <xf numFmtId="0" fontId="3" fillId="2" borderId="5" applyNumberFormat="0" applyFont="1" applyFill="1" applyBorder="1" applyAlignment="1" applyProtection="0">
      <alignment vertical="bottom"/>
    </xf>
    <xf numFmtId="0" fontId="3" fillId="2" borderId="5" applyNumberFormat="0" applyFont="1" applyFill="1" applyBorder="1" applyAlignment="1" applyProtection="0">
      <alignment horizontal="left" vertical="bottom"/>
    </xf>
    <xf numFmtId="49" fontId="17" fillId="2" borderId="5" applyNumberFormat="1" applyFont="1" applyFill="1" applyBorder="1" applyAlignment="1" applyProtection="0">
      <alignment horizontal="center" vertical="bottom"/>
    </xf>
    <xf numFmtId="1" fontId="14" fillId="2" borderId="5" applyNumberFormat="1" applyFont="1" applyFill="1" applyBorder="1" applyAlignment="1" applyProtection="0">
      <alignment horizontal="right" vertical="bottom"/>
    </xf>
    <xf numFmtId="63" fontId="14" fillId="2" borderId="5" applyNumberFormat="1" applyFont="1" applyFill="1" applyBorder="1" applyAlignment="1" applyProtection="0">
      <alignment horizontal="left" vertical="bottom"/>
    </xf>
    <xf numFmtId="49" fontId="18" fillId="2" borderId="5" applyNumberFormat="1" applyFont="1" applyFill="1" applyBorder="1" applyAlignment="1" applyProtection="0">
      <alignment horizontal="center" vertical="bottom"/>
    </xf>
    <xf numFmtId="60" fontId="14" fillId="2" borderId="5" applyNumberFormat="1" applyFont="1" applyFill="1" applyBorder="1" applyAlignment="1" applyProtection="0">
      <alignment horizontal="center" vertical="bottom"/>
    </xf>
    <xf numFmtId="0" fontId="0" applyNumberFormat="1" applyFont="1" applyFill="0" applyBorder="0" applyAlignment="1" applyProtection="0">
      <alignment vertical="bottom"/>
    </xf>
    <xf numFmtId="49" fontId="11" fillId="2" borderId="41" applyNumberFormat="1" applyFont="1" applyFill="1" applyBorder="1" applyAlignment="1" applyProtection="0">
      <alignment vertical="center"/>
    </xf>
    <xf numFmtId="49" fontId="19" fillId="2" borderId="42" applyNumberFormat="1" applyFont="1" applyFill="1" applyBorder="1" applyAlignment="1" applyProtection="0">
      <alignment vertical="center"/>
    </xf>
    <xf numFmtId="49" fontId="19" fillId="2" borderId="43" applyNumberFormat="1" applyFont="1" applyFill="1" applyBorder="1" applyAlignment="1" applyProtection="0">
      <alignment vertical="center"/>
    </xf>
    <xf numFmtId="0" fontId="20" fillId="2" borderId="27" applyNumberFormat="0" applyFont="1" applyFill="1" applyBorder="1" applyAlignment="1" applyProtection="0">
      <alignment vertical="center"/>
    </xf>
    <xf numFmtId="0" fontId="20" fillId="2" borderId="44" applyNumberFormat="0" applyFont="1" applyFill="1" applyBorder="1" applyAlignment="1" applyProtection="0">
      <alignment vertical="center"/>
    </xf>
    <xf numFmtId="49" fontId="11" fillId="2" borderId="29" applyNumberFormat="1" applyFont="1" applyFill="1" applyBorder="1" applyAlignment="1" applyProtection="0">
      <alignment vertical="center"/>
    </xf>
    <xf numFmtId="49" fontId="19" fillId="2" borderId="29" applyNumberFormat="1" applyFont="1" applyFill="1" applyBorder="1" applyAlignment="1" applyProtection="0">
      <alignment vertical="center"/>
    </xf>
    <xf numFmtId="0" fontId="11" fillId="2" borderId="29" applyNumberFormat="0" applyFont="1" applyFill="1" applyBorder="1" applyAlignment="1" applyProtection="0">
      <alignment vertical="center"/>
    </xf>
    <xf numFmtId="0" fontId="20" fillId="2" borderId="29" applyNumberFormat="0" applyFont="1" applyFill="1" applyBorder="1" applyAlignment="1" applyProtection="0">
      <alignment vertical="center"/>
    </xf>
    <xf numFmtId="14" fontId="3" fillId="2" borderId="29" applyNumberFormat="1" applyFont="1" applyFill="1" applyBorder="1" applyAlignment="1" applyProtection="0">
      <alignment horizontal="center" vertical="bottom"/>
    </xf>
    <xf numFmtId="0" fontId="0" fillId="2" borderId="29" applyNumberFormat="0" applyFont="1" applyFill="1" applyBorder="1" applyAlignment="1" applyProtection="0">
      <alignment vertical="bottom"/>
    </xf>
    <xf numFmtId="49" fontId="14" fillId="2" borderId="29" applyNumberFormat="1" applyFont="1" applyFill="1" applyBorder="1" applyAlignment="1" applyProtection="0">
      <alignment horizontal="center" vertical="bottom"/>
    </xf>
    <xf numFmtId="0" fontId="17" fillId="2" borderId="29" applyNumberFormat="0" applyFont="1" applyFill="1" applyBorder="1" applyAlignment="1" applyProtection="0">
      <alignment horizontal="center" vertical="bottom"/>
    </xf>
    <xf numFmtId="49" fontId="3" fillId="2" borderId="29" applyNumberFormat="1" applyFont="1" applyFill="1" applyBorder="1" applyAlignment="1" applyProtection="0">
      <alignment horizontal="center" vertical="bottom"/>
    </xf>
    <xf numFmtId="0" fontId="14" fillId="2" borderId="29" applyNumberFormat="0" applyFont="1" applyFill="1" applyBorder="1" applyAlignment="1" applyProtection="0">
      <alignment horizontal="center" vertical="bottom"/>
    </xf>
    <xf numFmtId="49" fontId="17" fillId="2" borderId="29" applyNumberFormat="1" applyFont="1" applyFill="1" applyBorder="1" applyAlignment="1" applyProtection="0">
      <alignment horizontal="center" vertical="bottom"/>
    </xf>
    <xf numFmtId="49" fontId="0" fillId="2" borderId="29" applyNumberFormat="1" applyFont="1" applyFill="1" applyBorder="1" applyAlignment="1" applyProtection="0">
      <alignment horizontal="center" vertical="bottom"/>
    </xf>
    <xf numFmtId="0" fontId="14" fillId="2" borderId="29" applyNumberFormat="1" applyFont="1" applyFill="1" applyBorder="1" applyAlignment="1" applyProtection="0">
      <alignment horizontal="right" vertical="bottom"/>
    </xf>
    <xf numFmtId="0" fontId="14" fillId="2" borderId="29" applyNumberFormat="1" applyFont="1" applyFill="1" applyBorder="1" applyAlignment="1" applyProtection="0">
      <alignment horizontal="center" vertical="bottom"/>
    </xf>
    <xf numFmtId="0" fontId="14" fillId="2" borderId="29" applyNumberFormat="1" applyFont="1" applyFill="1" applyBorder="1" applyAlignment="1" applyProtection="0">
      <alignment horizontal="left" vertical="bottom"/>
    </xf>
    <xf numFmtId="60" fontId="14" fillId="2" borderId="29" applyNumberFormat="1" applyFont="1" applyFill="1" applyBorder="1" applyAlignment="1" applyProtection="0">
      <alignment horizontal="center" vertical="bottom"/>
    </xf>
    <xf numFmtId="0" fontId="3" fillId="2" borderId="29" applyNumberFormat="1" applyFont="1" applyFill="1" applyBorder="1" applyAlignment="1" applyProtection="0">
      <alignment horizontal="center" vertical="bottom"/>
    </xf>
    <xf numFmtId="2" fontId="3" fillId="2" borderId="29" applyNumberFormat="1" applyFont="1" applyFill="1" applyBorder="1" applyAlignment="1" applyProtection="0">
      <alignment horizontal="center" vertical="bottom"/>
    </xf>
    <xf numFmtId="2" fontId="14" fillId="2" borderId="29" applyNumberFormat="1" applyFont="1" applyFill="1" applyBorder="1" applyAlignment="1" applyProtection="0">
      <alignment horizontal="center" vertical="bottom"/>
    </xf>
    <xf numFmtId="49" fontId="21" fillId="2" borderId="5" applyNumberFormat="1" applyFont="1" applyFill="1" applyBorder="1" applyAlignment="1" applyProtection="0">
      <alignment vertical="bottom"/>
    </xf>
    <xf numFmtId="49" fontId="14" fillId="2" borderId="10" applyNumberFormat="1" applyFont="1" applyFill="1" applyBorder="1" applyAlignment="1" applyProtection="0">
      <alignment horizontal="center" vertical="bottom"/>
    </xf>
    <xf numFmtId="0" fontId="14" fillId="2" borderId="9" applyNumberFormat="0" applyFont="1" applyFill="1" applyBorder="1" applyAlignment="1" applyProtection="0">
      <alignment horizontal="center" vertical="bottom"/>
    </xf>
    <xf numFmtId="0" fontId="14" fillId="2" borderId="11" applyNumberFormat="0" applyFont="1" applyFill="1" applyBorder="1" applyAlignment="1" applyProtection="0">
      <alignment horizontal="center" vertical="bottom"/>
    </xf>
    <xf numFmtId="0" fontId="0" fillId="2" borderId="29" applyNumberFormat="0" applyFont="1" applyFill="1" applyBorder="1" applyAlignment="1" applyProtection="0">
      <alignment horizontal="center" vertical="bottom"/>
    </xf>
    <xf numFmtId="1" fontId="3" fillId="2" borderId="29" applyNumberFormat="1" applyFont="1" applyFill="1" applyBorder="1" applyAlignment="1" applyProtection="0">
      <alignment horizontal="center" vertical="bottom"/>
    </xf>
    <xf numFmtId="60" fontId="3" fillId="2" borderId="29" applyNumberFormat="1" applyFont="1" applyFill="1" applyBorder="1" applyAlignment="1" applyProtection="0">
      <alignment horizontal="center" vertical="bottom"/>
    </xf>
    <xf numFmtId="49" fontId="15" fillId="2" borderId="29" applyNumberFormat="1" applyFont="1" applyFill="1" applyBorder="1" applyAlignment="1" applyProtection="0">
      <alignment horizontal="left" vertical="bottom"/>
    </xf>
    <xf numFmtId="0" fontId="15" fillId="2" borderId="29" applyNumberFormat="0" applyFont="1" applyFill="1" applyBorder="1" applyAlignment="1" applyProtection="0">
      <alignment vertical="bottom"/>
    </xf>
    <xf numFmtId="0" fontId="17" fillId="2" borderId="29" applyNumberFormat="0" applyFont="1" applyFill="1" applyBorder="1" applyAlignment="1" applyProtection="0">
      <alignment vertical="bottom"/>
    </xf>
    <xf numFmtId="0" fontId="15" fillId="2" borderId="4" applyNumberFormat="0" applyFont="1" applyFill="1" applyBorder="1" applyAlignment="1" applyProtection="0">
      <alignment vertical="bottom"/>
    </xf>
    <xf numFmtId="49" fontId="3" fillId="2" borderId="29" applyNumberFormat="1" applyFont="1" applyFill="1" applyBorder="1" applyAlignment="1" applyProtection="0">
      <alignment vertical="bottom"/>
    </xf>
    <xf numFmtId="49" fontId="14" fillId="2" borderId="29" applyNumberFormat="1" applyFont="1" applyFill="1" applyBorder="1" applyAlignment="1" applyProtection="0">
      <alignment horizontal="left" vertical="bottom"/>
    </xf>
    <xf numFmtId="0" fontId="3" fillId="2" borderId="29" applyNumberFormat="0" applyFont="1" applyFill="1" applyBorder="1" applyAlignment="1" applyProtection="0">
      <alignment vertical="bottom"/>
    </xf>
    <xf numFmtId="0" fontId="3" fillId="2" borderId="29" applyNumberFormat="0" applyFont="1" applyFill="1" applyBorder="1" applyAlignment="1" applyProtection="0">
      <alignment horizontal="left" vertical="bottom"/>
    </xf>
    <xf numFmtId="0" fontId="3" fillId="2" borderId="29" applyNumberFormat="0" applyFont="1" applyFill="1" applyBorder="1" applyAlignment="1" applyProtection="0">
      <alignment horizontal="center" vertical="bottom"/>
    </xf>
    <xf numFmtId="1" fontId="14" fillId="2" borderId="29" applyNumberFormat="1" applyFont="1" applyFill="1" applyBorder="1" applyAlignment="1" applyProtection="0">
      <alignment horizontal="right" vertical="bottom"/>
    </xf>
    <xf numFmtId="63" fontId="14" fillId="2" borderId="29" applyNumberFormat="1" applyFont="1" applyFill="1" applyBorder="1" applyAlignment="1" applyProtection="0">
      <alignment horizontal="left" vertical="bottom"/>
    </xf>
    <xf numFmtId="49" fontId="18" fillId="2" borderId="29" applyNumberFormat="1" applyFont="1" applyFill="1" applyBorder="1" applyAlignment="1" applyProtection="0">
      <alignment horizontal="center" vertical="bottom"/>
    </xf>
    <xf numFmtId="0" fontId="17" fillId="2" borderId="2" applyNumberFormat="0" applyFont="1" applyFill="1" applyBorder="1" applyAlignment="1" applyProtection="0">
      <alignment vertical="bottom"/>
    </xf>
    <xf numFmtId="0" fontId="0" applyNumberFormat="1" applyFont="1" applyFill="0" applyBorder="0" applyAlignment="1" applyProtection="0">
      <alignment vertical="bottom"/>
    </xf>
    <xf numFmtId="49" fontId="11" fillId="2" borderId="10" applyNumberFormat="1" applyFont="1" applyFill="1" applyBorder="1" applyAlignment="1" applyProtection="0">
      <alignment vertical="center" wrapText="1"/>
    </xf>
    <xf numFmtId="0" fontId="19" fillId="2" borderId="9" applyNumberFormat="0" applyFont="1" applyFill="1" applyBorder="1" applyAlignment="1" applyProtection="0">
      <alignment vertical="center" wrapText="1"/>
    </xf>
    <xf numFmtId="0" fontId="19" fillId="2" borderId="11" applyNumberFormat="0" applyFont="1" applyFill="1" applyBorder="1" applyAlignment="1" applyProtection="0">
      <alignment vertical="center" wrapText="1"/>
    </xf>
    <xf numFmtId="49" fontId="11" fillId="2" borderId="10" applyNumberFormat="1" applyFont="1" applyFill="1" applyBorder="1" applyAlignment="1" applyProtection="0">
      <alignment vertical="center"/>
    </xf>
    <xf numFmtId="0" fontId="20" fillId="2" borderId="9" applyNumberFormat="0" applyFont="1" applyFill="1" applyBorder="1" applyAlignment="1" applyProtection="0">
      <alignment vertical="center"/>
    </xf>
    <xf numFmtId="0" fontId="20" fillId="2" borderId="11" applyNumberFormat="0" applyFont="1" applyFill="1" applyBorder="1" applyAlignment="1" applyProtection="0">
      <alignment vertical="center"/>
    </xf>
    <xf numFmtId="0" fontId="0" fillId="2" borderId="6" applyNumberFormat="0" applyFont="1" applyFill="1" applyBorder="1" applyAlignment="1" applyProtection="0">
      <alignment vertical="bottom"/>
    </xf>
    <xf numFmtId="0" fontId="0" fillId="2" borderId="7" applyNumberFormat="0" applyFont="1" applyFill="1" applyBorder="1" applyAlignment="1" applyProtection="0">
      <alignment vertical="bottom"/>
    </xf>
    <xf numFmtId="1" fontId="22" fillId="6" borderId="45" applyNumberFormat="1" applyFont="1" applyFill="1" applyBorder="1" applyAlignment="1" applyProtection="0">
      <alignment vertical="bottom"/>
    </xf>
    <xf numFmtId="49" fontId="19" fillId="6" borderId="46" applyNumberFormat="1" applyFont="1" applyFill="1" applyBorder="1" applyAlignment="1" applyProtection="0">
      <alignment horizontal="center" vertical="center" wrapText="1"/>
    </xf>
    <xf numFmtId="49" fontId="19" fillId="6" borderId="29" applyNumberFormat="1" applyFont="1" applyFill="1" applyBorder="1" applyAlignment="1" applyProtection="0">
      <alignment horizontal="center" vertical="center" wrapText="1"/>
    </xf>
    <xf numFmtId="1" fontId="19" fillId="6" borderId="29" applyNumberFormat="1" applyFont="1" applyFill="1" applyBorder="1" applyAlignment="1" applyProtection="0">
      <alignment horizontal="center" vertical="center" wrapText="1"/>
    </xf>
    <xf numFmtId="49" fontId="19" fillId="5" borderId="29" applyNumberFormat="1" applyFont="1" applyFill="1" applyBorder="1" applyAlignment="1" applyProtection="0">
      <alignment horizontal="center" vertical="center" wrapText="1"/>
    </xf>
    <xf numFmtId="49" fontId="19" fillId="5" borderId="46" applyNumberFormat="1" applyFont="1" applyFill="1" applyBorder="1" applyAlignment="1" applyProtection="0">
      <alignment horizontal="center" vertical="center" wrapText="1"/>
    </xf>
    <xf numFmtId="0" fontId="22" fillId="2" borderId="4" applyNumberFormat="0" applyFont="1" applyFill="1" applyBorder="1" applyAlignment="1" applyProtection="0">
      <alignment vertical="bottom"/>
    </xf>
    <xf numFmtId="0" fontId="22" fillId="2" borderId="5" applyNumberFormat="0" applyFont="1" applyFill="1" applyBorder="1" applyAlignment="1" applyProtection="0">
      <alignment vertical="bottom"/>
    </xf>
    <xf numFmtId="1" fontId="22" fillId="6" borderId="47" applyNumberFormat="1" applyFont="1" applyFill="1" applyBorder="1" applyAlignment="1" applyProtection="0">
      <alignment vertical="bottom"/>
    </xf>
    <xf numFmtId="1" fontId="19" fillId="6" borderId="48" applyNumberFormat="1" applyFont="1" applyFill="1" applyBorder="1" applyAlignment="1" applyProtection="0">
      <alignment horizontal="center" vertical="center" wrapText="1"/>
    </xf>
    <xf numFmtId="49" fontId="19" fillId="6" borderId="29" applyNumberFormat="1" applyFont="1" applyFill="1" applyBorder="1" applyAlignment="1" applyProtection="0">
      <alignment horizontal="center" vertical="center"/>
    </xf>
    <xf numFmtId="0" fontId="0" fillId="2" borderId="48" applyNumberFormat="0" applyFont="1" applyFill="1" applyBorder="1" applyAlignment="1" applyProtection="0">
      <alignment horizontal="center" vertical="center" wrapText="1"/>
    </xf>
    <xf numFmtId="0" fontId="19" fillId="6" borderId="29" applyNumberFormat="0" applyFont="1" applyFill="1" applyBorder="1" applyAlignment="1" applyProtection="0">
      <alignment horizontal="center" vertical="center" wrapText="1"/>
    </xf>
    <xf numFmtId="0" fontId="3" fillId="5" borderId="29" applyNumberFormat="0" applyFont="1" applyFill="1" applyBorder="1" applyAlignment="1" applyProtection="0">
      <alignment horizontal="center" vertical="center" wrapText="1"/>
    </xf>
    <xf numFmtId="0" fontId="3" fillId="2" borderId="29" applyNumberFormat="0" applyFont="1" applyFill="1" applyBorder="1" applyAlignment="1" applyProtection="0">
      <alignment horizontal="center" vertical="center" wrapText="1"/>
    </xf>
    <xf numFmtId="0" fontId="3" fillId="5" borderId="48" applyNumberFormat="0" applyFont="1" applyFill="1" applyBorder="1" applyAlignment="1" applyProtection="0">
      <alignment horizontal="center" vertical="center" wrapText="1"/>
    </xf>
    <xf numFmtId="49" fontId="23" fillId="2" borderId="29" applyNumberFormat="1" applyFont="1" applyFill="1" applyBorder="1" applyAlignment="1" applyProtection="0">
      <alignment vertical="bottom"/>
    </xf>
    <xf numFmtId="60" fontId="24" fillId="7" borderId="29" applyNumberFormat="1" applyFont="1" applyFill="1" applyBorder="1" applyAlignment="1" applyProtection="0">
      <alignment horizontal="center" vertical="bottom"/>
    </xf>
    <xf numFmtId="60" fontId="23" fillId="2" borderId="29" applyNumberFormat="1" applyFont="1" applyFill="1" applyBorder="1" applyAlignment="1" applyProtection="0">
      <alignment horizontal="center" vertical="bottom"/>
    </xf>
    <xf numFmtId="60" fontId="23" fillId="7" borderId="29" applyNumberFormat="1" applyFont="1" applyFill="1" applyBorder="1" applyAlignment="1" applyProtection="0">
      <alignment horizontal="center" vertical="bottom"/>
    </xf>
    <xf numFmtId="2" fontId="23" fillId="5" borderId="29" applyNumberFormat="1" applyFont="1" applyFill="1" applyBorder="1" applyAlignment="1" applyProtection="0">
      <alignment horizontal="center" vertical="bottom"/>
    </xf>
    <xf numFmtId="1" fontId="23" fillId="2" borderId="29" applyNumberFormat="1" applyFont="1" applyFill="1" applyBorder="1" applyAlignment="1" applyProtection="0">
      <alignment horizontal="center" vertical="bottom"/>
    </xf>
    <xf numFmtId="60" fontId="23" fillId="2" borderId="29" applyNumberFormat="1" applyFont="1" applyFill="1" applyBorder="1" applyAlignment="1" applyProtection="0">
      <alignment horizontal="center" vertical="center"/>
    </xf>
    <xf numFmtId="60" fontId="23" fillId="5" borderId="29" applyNumberFormat="1" applyFont="1" applyFill="1" applyBorder="1" applyAlignment="1" applyProtection="0">
      <alignment horizontal="center" vertical="center"/>
    </xf>
    <xf numFmtId="2" fontId="23" fillId="2" borderId="29" applyNumberFormat="1" applyFont="1" applyFill="1" applyBorder="1" applyAlignment="1" applyProtection="0">
      <alignment horizontal="center" vertical="center"/>
    </xf>
    <xf numFmtId="49" fontId="23" fillId="2" borderId="29" applyNumberFormat="1" applyFont="1" applyFill="1" applyBorder="1" applyAlignment="1" applyProtection="0">
      <alignment vertical="center"/>
    </xf>
    <xf numFmtId="60" fontId="24" fillId="7" borderId="29" applyNumberFormat="1" applyFont="1" applyFill="1" applyBorder="1" applyAlignment="1" applyProtection="0">
      <alignment horizontal="center" vertical="center"/>
    </xf>
    <xf numFmtId="60" fontId="24" fillId="2" borderId="29" applyNumberFormat="1" applyFont="1" applyFill="1" applyBorder="1" applyAlignment="1" applyProtection="0">
      <alignment horizontal="center" vertical="center"/>
    </xf>
    <xf numFmtId="2" fontId="24" fillId="5" borderId="29" applyNumberFormat="1" applyFont="1" applyFill="1" applyBorder="1" applyAlignment="1" applyProtection="0">
      <alignment horizontal="center" vertical="center"/>
    </xf>
    <xf numFmtId="1" fontId="24" fillId="2" borderId="29" applyNumberFormat="1" applyFont="1" applyFill="1" applyBorder="1" applyAlignment="1" applyProtection="0">
      <alignment horizontal="center" vertical="center"/>
    </xf>
    <xf numFmtId="60" fontId="24" fillId="5" borderId="29" applyNumberFormat="1" applyFont="1" applyFill="1" applyBorder="1" applyAlignment="1" applyProtection="0">
      <alignment horizontal="center" vertical="center"/>
    </xf>
    <xf numFmtId="2" fontId="24" fillId="2" borderId="29" applyNumberFormat="1" applyFont="1" applyFill="1" applyBorder="1" applyAlignment="1" applyProtection="0">
      <alignment horizontal="center" vertical="center"/>
    </xf>
    <xf numFmtId="0" fontId="0" fillId="2" borderId="49" applyNumberFormat="0" applyFont="1" applyFill="1" applyBorder="1" applyAlignment="1" applyProtection="0">
      <alignment vertical="bottom"/>
    </xf>
    <xf numFmtId="0" fontId="0" fillId="2" borderId="50" applyNumberFormat="0" applyFont="1" applyFill="1" applyBorder="1" applyAlignment="1" applyProtection="0">
      <alignment vertical="bottom"/>
    </xf>
    <xf numFmtId="0" fontId="0" fillId="2" borderId="51" applyNumberFormat="0" applyFont="1" applyFill="1" applyBorder="1" applyAlignment="1" applyProtection="0">
      <alignment vertical="bottom"/>
    </xf>
    <xf numFmtId="49" fontId="0" fillId="2" borderId="10" applyNumberFormat="1" applyFont="1" applyFill="1" applyBorder="1" applyAlignment="1" applyProtection="0">
      <alignment vertical="top" wrapText="1"/>
    </xf>
    <xf numFmtId="0" fontId="0" fillId="2" borderId="9" applyNumberFormat="0" applyFont="1" applyFill="1" applyBorder="1" applyAlignment="1" applyProtection="0">
      <alignment vertical="top" wrapText="1"/>
    </xf>
    <xf numFmtId="0" fontId="0" fillId="2" borderId="9" applyNumberFormat="0" applyFont="1" applyFill="1" applyBorder="1" applyAlignment="1" applyProtection="0">
      <alignment vertical="center" wrapText="1"/>
    </xf>
    <xf numFmtId="0" fontId="0" fillId="2" borderId="11" applyNumberFormat="0" applyFont="1" applyFill="1" applyBorder="1" applyAlignment="1" applyProtection="0">
      <alignment vertical="center" wrapText="1"/>
    </xf>
    <xf numFmtId="0" fontId="0" fillId="2" borderId="9" applyNumberFormat="0" applyFont="1" applyFill="1" applyBorder="1" applyAlignment="1" applyProtection="0">
      <alignment vertical="bottom"/>
    </xf>
    <xf numFmtId="49" fontId="24" borderId="29" applyNumberFormat="1" applyFont="1" applyFill="0" applyBorder="1" applyAlignment="1" applyProtection="0">
      <alignment vertical="center"/>
    </xf>
    <xf numFmtId="0" fontId="24" fillId="5" borderId="29" applyNumberFormat="0" applyFont="1" applyFill="1" applyBorder="1" applyAlignment="1" applyProtection="0">
      <alignment vertical="center"/>
    </xf>
    <xf numFmtId="1" fontId="11" borderId="29" applyNumberFormat="1" applyFont="1" applyFill="0" applyBorder="1" applyAlignment="1" applyProtection="0">
      <alignment horizontal="center" vertical="center"/>
    </xf>
    <xf numFmtId="1" fontId="24" fillId="2" borderId="6" applyNumberFormat="1" applyFont="1" applyFill="1" applyBorder="1" applyAlignment="1" applyProtection="0">
      <alignment horizontal="center" vertical="center"/>
    </xf>
    <xf numFmtId="49" fontId="24" fillId="2" borderId="29" applyNumberFormat="1" applyFont="1" applyFill="1" applyBorder="1" applyAlignment="1" applyProtection="0">
      <alignment horizontal="left" vertical="center" wrapText="1"/>
    </xf>
    <xf numFmtId="0" fontId="24" fillId="2" borderId="29" applyNumberFormat="0" applyFont="1" applyFill="1" applyBorder="1" applyAlignment="1" applyProtection="0">
      <alignment vertical="center"/>
    </xf>
    <xf numFmtId="1" fontId="11" fillId="2" borderId="29" applyNumberFormat="1" applyFont="1" applyFill="1" applyBorder="1" applyAlignment="1" applyProtection="0">
      <alignment horizontal="center" vertical="center"/>
    </xf>
    <xf numFmtId="49" fontId="22" fillId="2" borderId="1" applyNumberFormat="1" applyFont="1" applyFill="1" applyBorder="1" applyAlignment="1" applyProtection="0">
      <alignment horizontal="left" vertical="center" wrapText="1"/>
    </xf>
    <xf numFmtId="0" fontId="17" fillId="2" borderId="2" applyNumberFormat="0" applyFont="1" applyFill="1" applyBorder="1" applyAlignment="1" applyProtection="0">
      <alignment horizontal="left" vertical="center" wrapText="1"/>
    </xf>
    <xf numFmtId="0" fontId="17" fillId="2" borderId="3" applyNumberFormat="0" applyFont="1" applyFill="1" applyBorder="1" applyAlignment="1" applyProtection="0">
      <alignment horizontal="left" vertical="center" wrapText="1"/>
    </xf>
    <xf numFmtId="0" fontId="17" fillId="2" borderId="6" applyNumberFormat="0" applyFont="1" applyFill="1" applyBorder="1" applyAlignment="1" applyProtection="0">
      <alignment horizontal="left" vertical="center" wrapText="1"/>
    </xf>
    <xf numFmtId="0" fontId="17" fillId="2" borderId="7" applyNumberFormat="0" applyFont="1" applyFill="1" applyBorder="1" applyAlignment="1" applyProtection="0">
      <alignment horizontal="left" vertical="center" wrapText="1"/>
    </xf>
    <xf numFmtId="0" fontId="17" fillId="2" borderId="8" applyNumberFormat="0" applyFont="1" applyFill="1" applyBorder="1" applyAlignment="1" applyProtection="0">
      <alignment horizontal="left" vertical="center" wrapText="1"/>
    </xf>
    <xf numFmtId="0" fontId="0" applyNumberFormat="1" applyFont="1" applyFill="0" applyBorder="0" applyAlignment="1" applyProtection="0">
      <alignment vertical="bottom"/>
    </xf>
    <xf numFmtId="0" fontId="19" fillId="5" borderId="48" applyNumberFormat="0" applyFont="1" applyFill="1" applyBorder="1" applyAlignment="1" applyProtection="0">
      <alignment horizontal="center" vertical="center" wrapText="1"/>
    </xf>
    <xf numFmtId="60" fontId="23" fillId="8" borderId="29" applyNumberFormat="1" applyFont="1" applyFill="1" applyBorder="1" applyAlignment="1" applyProtection="0">
      <alignment horizontal="center" vertical="center"/>
    </xf>
    <xf numFmtId="0" fontId="22" fillId="2" borderId="29" applyNumberFormat="0" applyFont="1" applyFill="1" applyBorder="1" applyAlignment="1" applyProtection="0">
      <alignment horizontal="center" vertical="bottom"/>
    </xf>
    <xf numFmtId="49" fontId="22" fillId="2" borderId="29" applyNumberFormat="1" applyFont="1" applyFill="1" applyBorder="1" applyAlignment="1" applyProtection="0">
      <alignment horizontal="center" vertical="center"/>
    </xf>
    <xf numFmtId="49" fontId="24" fillId="2" borderId="29" applyNumberFormat="1" applyFont="1" applyFill="1" applyBorder="1" applyAlignment="1" applyProtection="0">
      <alignment horizontal="center" vertical="center"/>
    </xf>
    <xf numFmtId="0" fontId="22" fillId="2" borderId="29" applyNumberFormat="1" applyFont="1" applyFill="1" applyBorder="1" applyAlignment="1" applyProtection="0">
      <alignment horizontal="center" vertical="center"/>
    </xf>
    <xf numFmtId="0" fontId="22" fillId="2" borderId="29" applyNumberFormat="0" applyFont="1" applyFill="1" applyBorder="1" applyAlignment="1" applyProtection="0">
      <alignment horizontal="center" vertical="center"/>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49" fontId="24" fillId="2" borderId="10" applyNumberFormat="1" applyFont="1" applyFill="1" applyBorder="1" applyAlignment="1" applyProtection="0">
      <alignment horizontal="center" vertical="center"/>
    </xf>
    <xf numFmtId="0" fontId="0" fillId="2" borderId="9" applyNumberFormat="0" applyFont="1" applyFill="1" applyBorder="1" applyAlignment="1" applyProtection="0">
      <alignment horizontal="center" vertical="center"/>
    </xf>
    <xf numFmtId="0" fontId="0" fillId="2" borderId="11" applyNumberFormat="0" applyFont="1" applyFill="1" applyBorder="1" applyAlignment="1" applyProtection="0">
      <alignment horizontal="center" vertical="center"/>
    </xf>
    <xf numFmtId="60" fontId="11" borderId="29" applyNumberFormat="1" applyFont="1" applyFill="0" applyBorder="1" applyAlignment="1" applyProtection="0">
      <alignment horizontal="center" vertical="center"/>
    </xf>
    <xf numFmtId="49" fontId="24" fillId="2" borderId="10" applyNumberFormat="1" applyFont="1" applyFill="1" applyBorder="1" applyAlignment="1" applyProtection="0">
      <alignment horizontal="left" vertical="center"/>
    </xf>
    <xf numFmtId="0" fontId="0" fillId="2" borderId="11" applyNumberFormat="0" applyFont="1" applyFill="1" applyBorder="1" applyAlignment="1" applyProtection="0">
      <alignment vertical="center"/>
    </xf>
    <xf numFmtId="60" fontId="11" fillId="2" borderId="29" applyNumberFormat="1" applyFont="1" applyFill="1" applyBorder="1" applyAlignment="1" applyProtection="0">
      <alignment horizontal="center" vertical="center"/>
    </xf>
    <xf numFmtId="49" fontId="17" fillId="2" borderId="2" applyNumberFormat="1" applyFont="1" applyFill="1" applyBorder="1" applyAlignment="1" applyProtection="0">
      <alignment horizontal="left" vertical="center" wrapText="1"/>
    </xf>
    <xf numFmtId="49" fontId="0" fillId="2" borderId="2" applyNumberFormat="1" applyFont="1" applyFill="1" applyBorder="1" applyAlignment="1" applyProtection="0">
      <alignment vertical="center" wrapText="1"/>
    </xf>
    <xf numFmtId="49" fontId="0" fillId="2" borderId="3" applyNumberFormat="1" applyFont="1" applyFill="1" applyBorder="1" applyAlignment="1" applyProtection="0">
      <alignment vertical="center" wrapText="1"/>
    </xf>
    <xf numFmtId="49" fontId="24" fillId="2" borderId="10" applyNumberFormat="1" applyFont="1" applyFill="1" applyBorder="1" applyAlignment="1" applyProtection="0">
      <alignment vertical="center"/>
    </xf>
    <xf numFmtId="49" fontId="17" fillId="2" borderId="6" applyNumberFormat="1" applyFont="1" applyFill="1" applyBorder="1" applyAlignment="1" applyProtection="0">
      <alignment horizontal="left" vertical="center" wrapText="1"/>
    </xf>
    <xf numFmtId="49" fontId="17" fillId="2" borderId="7" applyNumberFormat="1" applyFont="1" applyFill="1" applyBorder="1" applyAlignment="1" applyProtection="0">
      <alignment horizontal="left" vertical="center" wrapText="1"/>
    </xf>
    <xf numFmtId="49" fontId="0" fillId="2" borderId="7" applyNumberFormat="1" applyFont="1" applyFill="1" applyBorder="1" applyAlignment="1" applyProtection="0">
      <alignment vertical="center" wrapText="1"/>
    </xf>
    <xf numFmtId="49" fontId="0" fillId="2" borderId="8" applyNumberFormat="1" applyFont="1" applyFill="1" applyBorder="1" applyAlignment="1" applyProtection="0">
      <alignment vertical="center" wrapText="1"/>
    </xf>
    <xf numFmtId="0" fontId="0" fillId="2" borderId="2" applyNumberFormat="0" applyFont="1" applyFill="1" applyBorder="1" applyAlignment="1" applyProtection="0">
      <alignment vertical="center"/>
    </xf>
    <xf numFmtId="0" fontId="0" fillId="2" borderId="5" applyNumberFormat="0" applyFont="1" applyFill="1" applyBorder="1" applyAlignment="1" applyProtection="0">
      <alignment vertical="center"/>
    </xf>
    <xf numFmtId="0" fontId="0" applyNumberFormat="1" applyFont="1" applyFill="0" applyBorder="0" applyAlignment="1" applyProtection="0">
      <alignment vertical="bottom"/>
    </xf>
    <xf numFmtId="0" fontId="0" borderId="18" applyNumberFormat="0" applyFont="1" applyFill="0" applyBorder="1" applyAlignment="1" applyProtection="0">
      <alignment vertical="bottom"/>
    </xf>
    <xf numFmtId="0" fontId="0" borderId="5" applyNumberFormat="0" applyFont="1" applyFill="0" applyBorder="1" applyAlignment="1" applyProtection="0">
      <alignment vertical="bottom"/>
    </xf>
    <xf numFmtId="49" fontId="25" fillId="2" borderId="19" applyNumberFormat="1" applyFont="1" applyFill="1" applyBorder="1" applyAlignment="1" applyProtection="0">
      <alignment horizontal="center" vertical="bottom"/>
    </xf>
    <xf numFmtId="0" fontId="25" fillId="2" borderId="20" applyNumberFormat="0" applyFont="1" applyFill="1" applyBorder="1" applyAlignment="1" applyProtection="0">
      <alignment horizontal="center" vertical="bottom"/>
    </xf>
    <xf numFmtId="0" fontId="25" borderId="21" applyNumberFormat="0" applyFont="1" applyFill="0" applyBorder="1" applyAlignment="1" applyProtection="0">
      <alignment horizontal="center" vertical="bottom"/>
    </xf>
    <xf numFmtId="0" fontId="10" borderId="22" applyNumberFormat="0" applyFont="1" applyFill="0" applyBorder="1" applyAlignment="1" applyProtection="0">
      <alignment horizontal="center" vertical="bottom"/>
    </xf>
    <xf numFmtId="49" fontId="11" fillId="2" borderId="52" applyNumberFormat="1" applyFont="1" applyFill="1" applyBorder="1" applyAlignment="1" applyProtection="0">
      <alignment vertical="center"/>
    </xf>
    <xf numFmtId="49" fontId="19" fillId="2" borderId="53" applyNumberFormat="1" applyFont="1" applyFill="1" applyBorder="1" applyAlignment="1" applyProtection="0">
      <alignment vertical="center"/>
    </xf>
    <xf numFmtId="49" fontId="19" fillId="2" borderId="54" applyNumberFormat="1" applyFont="1" applyFill="1" applyBorder="1" applyAlignment="1" applyProtection="0">
      <alignment vertical="center"/>
    </xf>
    <xf numFmtId="49" fontId="11" fillId="2" borderId="19" applyNumberFormat="1" applyFont="1" applyFill="1" applyBorder="1" applyAlignment="1" applyProtection="0">
      <alignment horizontal="center" vertical="center"/>
    </xf>
    <xf numFmtId="0" fontId="11" fillId="2" borderId="20" applyNumberFormat="0" applyFont="1" applyFill="1" applyBorder="1" applyAlignment="1" applyProtection="0">
      <alignment horizontal="center" vertical="center"/>
    </xf>
    <xf numFmtId="0" fontId="11" fillId="2" borderId="21" applyNumberFormat="0" applyFont="1" applyFill="1" applyBorder="1" applyAlignment="1" applyProtection="0">
      <alignment horizontal="center" vertical="center"/>
    </xf>
    <xf numFmtId="0" fontId="20" fillId="2" borderId="22" applyNumberFormat="0" applyFont="1" applyFill="1" applyBorder="1" applyAlignment="1" applyProtection="0">
      <alignment vertical="center"/>
    </xf>
    <xf numFmtId="49" fontId="23" fillId="2" borderId="27" applyNumberFormat="1" applyFont="1" applyFill="1" applyBorder="1" applyAlignment="1" applyProtection="0">
      <alignment vertical="center"/>
    </xf>
    <xf numFmtId="49" fontId="0" fillId="2" borderId="27" applyNumberFormat="1" applyFont="1" applyFill="1" applyBorder="1" applyAlignment="1" applyProtection="0">
      <alignment vertical="center"/>
    </xf>
    <xf numFmtId="0" fontId="23" fillId="5" borderId="55" applyNumberFormat="0" applyFont="1" applyFill="1" applyBorder="1" applyAlignment="1" applyProtection="0">
      <alignment vertical="bottom"/>
    </xf>
    <xf numFmtId="49" fontId="0" fillId="5" borderId="56" applyNumberFormat="1" applyFont="1" applyFill="1" applyBorder="1" applyAlignment="1" applyProtection="0">
      <alignment horizontal="center" vertical="center"/>
    </xf>
    <xf numFmtId="49" fontId="0" fillId="5" borderId="56" applyNumberFormat="1" applyFont="1" applyFill="1" applyBorder="1" applyAlignment="1" applyProtection="0">
      <alignment horizontal="center" vertical="center" wrapText="1"/>
    </xf>
    <xf numFmtId="0" fontId="0" fillId="5" borderId="56" applyNumberFormat="0" applyFont="1" applyFill="1" applyBorder="1" applyAlignment="1" applyProtection="0">
      <alignment horizontal="center" vertical="center" wrapText="1"/>
    </xf>
    <xf numFmtId="49" fontId="26" fillId="5" borderId="56" applyNumberFormat="1" applyFont="1" applyFill="1" applyBorder="1" applyAlignment="1" applyProtection="0">
      <alignment horizontal="center" vertical="center" wrapText="1"/>
    </xf>
    <xf numFmtId="0" fontId="0" borderId="35" applyNumberFormat="0" applyFont="1" applyFill="0" applyBorder="1" applyAlignment="1" applyProtection="0">
      <alignment vertical="bottom"/>
    </xf>
    <xf numFmtId="0" fontId="23" fillId="5" borderId="57" applyNumberFormat="0" applyFont="1" applyFill="1" applyBorder="1" applyAlignment="1" applyProtection="0">
      <alignment vertical="bottom"/>
    </xf>
    <xf numFmtId="0" fontId="0" fillId="5" borderId="58" applyNumberFormat="0" applyFont="1" applyFill="1" applyBorder="1" applyAlignment="1" applyProtection="0">
      <alignment horizontal="center" vertical="center"/>
    </xf>
    <xf numFmtId="49" fontId="0" fillId="5" borderId="58" applyNumberFormat="1" applyFont="1" applyFill="1" applyBorder="1" applyAlignment="1" applyProtection="0">
      <alignment horizontal="center" vertical="center"/>
    </xf>
    <xf numFmtId="0" fontId="0" fillId="5" borderId="58" applyNumberFormat="0" applyFont="1" applyFill="1" applyBorder="1" applyAlignment="1" applyProtection="0">
      <alignment horizontal="center" vertical="center" wrapText="1"/>
    </xf>
    <xf numFmtId="0" fontId="26" fillId="5" borderId="58" applyNumberFormat="0" applyFont="1" applyFill="1" applyBorder="1" applyAlignment="1" applyProtection="0">
      <alignment horizontal="center" vertical="center" wrapText="1"/>
    </xf>
    <xf numFmtId="49" fontId="0" fillId="5" borderId="58" applyNumberFormat="1" applyFont="1" applyFill="1" applyBorder="1" applyAlignment="1" applyProtection="0">
      <alignment horizontal="center" vertical="center" wrapText="1"/>
    </xf>
    <xf numFmtId="49" fontId="23" fillId="2" borderId="59" applyNumberFormat="1" applyFont="1" applyFill="1" applyBorder="1" applyAlignment="1" applyProtection="0">
      <alignment vertical="bottom"/>
    </xf>
    <xf numFmtId="60" fontId="24" fillId="5" borderId="56" applyNumberFormat="1" applyFont="1" applyFill="1" applyBorder="1" applyAlignment="1" applyProtection="0">
      <alignment horizontal="center" vertical="bottom"/>
    </xf>
    <xf numFmtId="60" fontId="23" fillId="2" borderId="51" applyNumberFormat="1" applyFont="1" applyFill="1" applyBorder="1" applyAlignment="1" applyProtection="0">
      <alignment horizontal="center" vertical="bottom"/>
    </xf>
    <xf numFmtId="60" fontId="23" fillId="2" borderId="59" applyNumberFormat="1" applyFont="1" applyFill="1" applyBorder="1" applyAlignment="1" applyProtection="0">
      <alignment horizontal="center" vertical="bottom"/>
    </xf>
    <xf numFmtId="60" fontId="23" fillId="5" borderId="56" applyNumberFormat="1" applyFont="1" applyFill="1" applyBorder="1" applyAlignment="1" applyProtection="0">
      <alignment horizontal="center" vertical="bottom"/>
    </xf>
    <xf numFmtId="2" fontId="23" fillId="2" borderId="60" applyNumberFormat="1" applyFont="1" applyFill="1" applyBorder="1" applyAlignment="1" applyProtection="0">
      <alignment horizontal="center" vertical="bottom"/>
    </xf>
    <xf numFmtId="1" fontId="23" fillId="5" borderId="56" applyNumberFormat="1" applyFont="1" applyFill="1" applyBorder="1" applyAlignment="1" applyProtection="0">
      <alignment horizontal="center" vertical="bottom"/>
    </xf>
    <xf numFmtId="1" fontId="23" fillId="2" borderId="60" applyNumberFormat="1" applyFont="1" applyFill="1" applyBorder="1" applyAlignment="1" applyProtection="0">
      <alignment horizontal="center" vertical="bottom"/>
    </xf>
    <xf numFmtId="2" fontId="23" fillId="5" borderId="56" applyNumberFormat="1" applyFont="1" applyFill="1" applyBorder="1" applyAlignment="1" applyProtection="0">
      <alignment horizontal="center" vertical="bottom"/>
    </xf>
    <xf numFmtId="60" fontId="23" borderId="51" applyNumberFormat="1" applyFont="1" applyFill="0" applyBorder="1" applyAlignment="1" applyProtection="0">
      <alignment horizontal="center" vertical="bottom"/>
    </xf>
    <xf numFmtId="49" fontId="23" fillId="2" borderId="32" applyNumberFormat="1" applyFont="1" applyFill="1" applyBorder="1" applyAlignment="1" applyProtection="0">
      <alignment vertical="bottom"/>
    </xf>
    <xf numFmtId="60" fontId="24" fillId="5" borderId="33" applyNumberFormat="1" applyFont="1" applyFill="1" applyBorder="1" applyAlignment="1" applyProtection="0">
      <alignment horizontal="center" vertical="bottom"/>
    </xf>
    <xf numFmtId="60" fontId="23" fillId="2" borderId="35" applyNumberFormat="1" applyFont="1" applyFill="1" applyBorder="1" applyAlignment="1" applyProtection="0">
      <alignment horizontal="center" vertical="bottom"/>
    </xf>
    <xf numFmtId="60" fontId="23" fillId="2" borderId="32" applyNumberFormat="1" applyFont="1" applyFill="1" applyBorder="1" applyAlignment="1" applyProtection="0">
      <alignment horizontal="center" vertical="bottom"/>
    </xf>
    <xf numFmtId="60" fontId="23" fillId="5" borderId="33" applyNumberFormat="1" applyFont="1" applyFill="1" applyBorder="1" applyAlignment="1" applyProtection="0">
      <alignment horizontal="center" vertical="bottom"/>
    </xf>
    <xf numFmtId="2" fontId="23" fillId="2" borderId="34" applyNumberFormat="1" applyFont="1" applyFill="1" applyBorder="1" applyAlignment="1" applyProtection="0">
      <alignment horizontal="center" vertical="bottom"/>
    </xf>
    <xf numFmtId="1" fontId="23" fillId="5" borderId="33" applyNumberFormat="1" applyFont="1" applyFill="1" applyBorder="1" applyAlignment="1" applyProtection="0">
      <alignment horizontal="center" vertical="bottom"/>
    </xf>
    <xf numFmtId="1" fontId="23" fillId="2" borderId="34" applyNumberFormat="1" applyFont="1" applyFill="1" applyBorder="1" applyAlignment="1" applyProtection="0">
      <alignment horizontal="center" vertical="bottom"/>
    </xf>
    <xf numFmtId="2" fontId="23" fillId="5" borderId="33" applyNumberFormat="1" applyFont="1" applyFill="1" applyBorder="1" applyAlignment="1" applyProtection="0">
      <alignment horizontal="center" vertical="bottom"/>
    </xf>
    <xf numFmtId="60" fontId="23" borderId="35" applyNumberFormat="1" applyFont="1" applyFill="0" applyBorder="1" applyAlignment="1" applyProtection="0">
      <alignment horizontal="center" vertical="bottom"/>
    </xf>
    <xf numFmtId="49" fontId="23" fillId="2" borderId="61" applyNumberFormat="1" applyFont="1" applyFill="1" applyBorder="1" applyAlignment="1" applyProtection="0">
      <alignment vertical="bottom"/>
    </xf>
    <xf numFmtId="60" fontId="23" fillId="2" borderId="37" applyNumberFormat="1" applyFont="1" applyFill="1" applyBorder="1" applyAlignment="1" applyProtection="0">
      <alignment horizontal="center" vertical="bottom"/>
    </xf>
    <xf numFmtId="60" fontId="23" fillId="2" borderId="61" applyNumberFormat="1" applyFont="1" applyFill="1" applyBorder="1" applyAlignment="1" applyProtection="0">
      <alignment horizontal="center" vertical="bottom"/>
    </xf>
    <xf numFmtId="2" fontId="23" fillId="2" borderId="62" applyNumberFormat="1" applyFont="1" applyFill="1" applyBorder="1" applyAlignment="1" applyProtection="0">
      <alignment horizontal="center" vertical="bottom"/>
    </xf>
    <xf numFmtId="1" fontId="23" fillId="2" borderId="62" applyNumberFormat="1" applyFont="1" applyFill="1" applyBorder="1" applyAlignment="1" applyProtection="0">
      <alignment horizontal="center" vertical="bottom"/>
    </xf>
    <xf numFmtId="60" fontId="23" borderId="37" applyNumberFormat="1" applyFont="1" applyFill="0" applyBorder="1" applyAlignment="1" applyProtection="0">
      <alignment horizontal="center" vertical="bottom"/>
    </xf>
    <xf numFmtId="49" fontId="27" fillId="5" borderId="57" applyNumberFormat="1" applyFont="1" applyFill="1" applyBorder="1" applyAlignment="1" applyProtection="0">
      <alignment vertical="bottom"/>
    </xf>
    <xf numFmtId="60" fontId="24" fillId="5" borderId="58" applyNumberFormat="1" applyFont="1" applyFill="1" applyBorder="1" applyAlignment="1" applyProtection="0">
      <alignment horizontal="center" vertical="bottom"/>
    </xf>
    <xf numFmtId="2" fontId="24" fillId="5" borderId="58" applyNumberFormat="1" applyFont="1" applyFill="1" applyBorder="1" applyAlignment="1" applyProtection="0">
      <alignment horizontal="center" vertical="bottom"/>
    </xf>
    <xf numFmtId="1" fontId="24" fillId="5" borderId="58" applyNumberFormat="1" applyFont="1" applyFill="1" applyBorder="1" applyAlignment="1" applyProtection="0">
      <alignment horizontal="center" vertical="bottom"/>
    </xf>
    <xf numFmtId="0" fontId="0" borderId="2" applyNumberFormat="0" applyFont="1" applyFill="0" applyBorder="1" applyAlignment="1" applyProtection="0">
      <alignment vertical="bottom"/>
    </xf>
    <xf numFmtId="49" fontId="14" fillId="2" borderId="5" applyNumberFormat="1" applyFont="1" applyFill="1" applyBorder="1" applyAlignment="1" applyProtection="0">
      <alignment vertical="top" wrapText="1"/>
    </xf>
    <xf numFmtId="0" fontId="14" borderId="5" applyNumberFormat="0" applyFont="1" applyFill="0"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dd0806"/>
      <rgbColor rgb="fffcf305"/>
      <rgbColor rgb="ff1fb714"/>
      <rgbColor rgb="ffc0c0c0"/>
      <rgbColor rgb="ff969696"/>
      <rgbColor rgb="ffbfbfbf"/>
      <rgbColor rgb="ffd8d8d8"/>
      <rgbColor rgb="ffd9d9d9"/>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Relationships xmlns="http://schemas.openxmlformats.org/package/2006/relationships"><Relationship Id="rId1" Type="http://schemas.openxmlformats.org/officeDocument/2006/relationships/image" Target="../media/image1.png"/></Relationships>

</file>

<file path=xl/drawings/_rels/drawing2.xml.rels><?xml version="1.0" encoding="UTF-8"?>
<Relationships xmlns="http://schemas.openxmlformats.org/package/2006/relationships"><Relationship Id="rId1" Type="http://schemas.openxmlformats.org/officeDocument/2006/relationships/image" Target="../media/image1.png"/></Relationships>

</file>

<file path=xl/drawings/_rels/drawing3.xml.rels><?xml version="1.0" encoding="UTF-8"?>
<Relationships xmlns="http://schemas.openxmlformats.org/package/2006/relationships"><Relationship Id="rId1" Type="http://schemas.openxmlformats.org/officeDocument/2006/relationships/image" Target="../media/image2.png"/></Relationships>

</file>

<file path=xl/drawings/_rels/drawing4.xml.rels><?xml version="1.0" encoding="UTF-8"?>
<Relationships xmlns="http://schemas.openxmlformats.org/package/2006/relationships"><Relationship Id="rId1" Type="http://schemas.openxmlformats.org/officeDocument/2006/relationships/image" Target="../media/image2.png"/></Relationships>

</file>

<file path=xl/drawings/_rels/drawing5.xml.rels><?xml version="1.0" encoding="UTF-8"?>
<Relationships xmlns="http://schemas.openxmlformats.org/package/2006/relationships"><Relationship Id="rId1" Type="http://schemas.openxmlformats.org/officeDocument/2006/relationships/image" Target="../media/image2.pn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11</xdr:col>
      <xdr:colOff>279610</xdr:colOff>
      <xdr:row>1</xdr:row>
      <xdr:rowOff>50999</xdr:rowOff>
    </xdr:from>
    <xdr:to>
      <xdr:col>15</xdr:col>
      <xdr:colOff>381124</xdr:colOff>
      <xdr:row>7</xdr:row>
      <xdr:rowOff>127799</xdr:rowOff>
    </xdr:to>
    <xdr:pic>
      <xdr:nvPicPr>
        <xdr:cNvPr id="2" name="clip_image001" descr="clip_image001"/>
        <xdr:cNvPicPr>
          <a:picLocks noChangeAspect="1"/>
        </xdr:cNvPicPr>
      </xdr:nvPicPr>
      <xdr:blipFill>
        <a:blip r:embed="rId1">
          <a:extLst/>
        </a:blip>
        <a:stretch>
          <a:fillRect/>
        </a:stretch>
      </xdr:blipFill>
      <xdr:spPr>
        <a:xfrm>
          <a:off x="6185110" y="203399"/>
          <a:ext cx="2463715" cy="991201"/>
        </a:xfrm>
        <a:prstGeom prst="rect">
          <a:avLst/>
        </a:prstGeom>
        <a:ln w="12700" cap="flat">
          <a:noFill/>
          <a:miter lim="400000"/>
        </a:ln>
        <a:effectLst/>
      </xdr:spPr>
    </xdr:pic>
    <xdr:clientData/>
  </xdr:twoCellAnchor>
</xdr:wsDr>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8</xdr:col>
      <xdr:colOff>470098</xdr:colOff>
      <xdr:row>2</xdr:row>
      <xdr:rowOff>50600</xdr:rowOff>
    </xdr:from>
    <xdr:to>
      <xdr:col>11</xdr:col>
      <xdr:colOff>12489</xdr:colOff>
      <xdr:row>3</xdr:row>
      <xdr:rowOff>13049</xdr:rowOff>
    </xdr:to>
    <xdr:pic>
      <xdr:nvPicPr>
        <xdr:cNvPr id="4" name="clip_image001" descr="clip_image001"/>
        <xdr:cNvPicPr>
          <a:picLocks noChangeAspect="1"/>
        </xdr:cNvPicPr>
      </xdr:nvPicPr>
      <xdr:blipFill>
        <a:blip r:embed="rId1">
          <a:extLst/>
        </a:blip>
        <a:stretch>
          <a:fillRect/>
        </a:stretch>
      </xdr:blipFill>
      <xdr:spPr>
        <a:xfrm>
          <a:off x="5740598" y="558600"/>
          <a:ext cx="1294992" cy="521250"/>
        </a:xfrm>
        <a:prstGeom prst="rect">
          <a:avLst/>
        </a:prstGeom>
        <a:ln w="12700" cap="flat">
          <a:noFill/>
          <a:miter lim="400000"/>
        </a:ln>
        <a:effectLst/>
      </xdr:spPr>
    </xdr:pic>
    <xdr:clientData/>
  </xdr:twoCellAnchor>
</xdr:wsDr>
</file>

<file path=xl/drawings/drawing3.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9</xdr:col>
      <xdr:colOff>38224</xdr:colOff>
      <xdr:row>1</xdr:row>
      <xdr:rowOff>51249</xdr:rowOff>
    </xdr:from>
    <xdr:to>
      <xdr:col>11</xdr:col>
      <xdr:colOff>12489</xdr:colOff>
      <xdr:row>2</xdr:row>
      <xdr:rowOff>12600</xdr:rowOff>
    </xdr:to>
    <xdr:pic>
      <xdr:nvPicPr>
        <xdr:cNvPr id="6" name="image.tif" descr="image.tif"/>
        <xdr:cNvPicPr>
          <a:picLocks noChangeAspect="1"/>
        </xdr:cNvPicPr>
      </xdr:nvPicPr>
      <xdr:blipFill>
        <a:blip r:embed="rId1">
          <a:extLst/>
        </a:blip>
        <a:stretch>
          <a:fillRect/>
        </a:stretch>
      </xdr:blipFill>
      <xdr:spPr>
        <a:xfrm>
          <a:off x="5804024" y="394149"/>
          <a:ext cx="1142666" cy="482052"/>
        </a:xfrm>
        <a:prstGeom prst="rect">
          <a:avLst/>
        </a:prstGeom>
        <a:ln w="12700" cap="flat">
          <a:noFill/>
          <a:miter lim="400000"/>
        </a:ln>
        <a:effectLst/>
      </xdr:spPr>
    </xdr:pic>
    <xdr:clientData/>
  </xdr:twoCellAnchor>
</xdr:wsDr>
</file>

<file path=xl/drawings/drawing4.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9</xdr:col>
      <xdr:colOff>37951</xdr:colOff>
      <xdr:row>2</xdr:row>
      <xdr:rowOff>51300</xdr:rowOff>
    </xdr:from>
    <xdr:to>
      <xdr:col>11</xdr:col>
      <xdr:colOff>13394</xdr:colOff>
      <xdr:row>3</xdr:row>
      <xdr:rowOff>63749</xdr:rowOff>
    </xdr:to>
    <xdr:pic>
      <xdr:nvPicPr>
        <xdr:cNvPr id="8" name="image.tif" descr="image.tif"/>
        <xdr:cNvPicPr>
          <a:picLocks noChangeAspect="1"/>
        </xdr:cNvPicPr>
      </xdr:nvPicPr>
      <xdr:blipFill>
        <a:blip r:embed="rId1">
          <a:extLst/>
        </a:blip>
        <a:stretch>
          <a:fillRect/>
        </a:stretch>
      </xdr:blipFill>
      <xdr:spPr>
        <a:xfrm>
          <a:off x="6692751" y="597400"/>
          <a:ext cx="1270844" cy="495050"/>
        </a:xfrm>
        <a:prstGeom prst="rect">
          <a:avLst/>
        </a:prstGeom>
        <a:ln w="12700" cap="flat">
          <a:noFill/>
          <a:miter lim="400000"/>
        </a:ln>
        <a:effectLst/>
      </xdr:spPr>
    </xdr:pic>
    <xdr:clientData/>
  </xdr:twoCellAnchor>
</xdr:wsDr>
</file>

<file path=xl/drawings/drawing5.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7</xdr:col>
      <xdr:colOff>685800</xdr:colOff>
      <xdr:row>1</xdr:row>
      <xdr:rowOff>50750</xdr:rowOff>
    </xdr:from>
    <xdr:to>
      <xdr:col>9</xdr:col>
      <xdr:colOff>482885</xdr:colOff>
      <xdr:row>2</xdr:row>
      <xdr:rowOff>115500</xdr:rowOff>
    </xdr:to>
    <xdr:pic>
      <xdr:nvPicPr>
        <xdr:cNvPr id="10" name="image.tif" descr="image.tif"/>
        <xdr:cNvPicPr>
          <a:picLocks noChangeAspect="1"/>
        </xdr:cNvPicPr>
      </xdr:nvPicPr>
      <xdr:blipFill>
        <a:blip r:embed="rId1">
          <a:extLst/>
        </a:blip>
        <a:stretch>
          <a:fillRect/>
        </a:stretch>
      </xdr:blipFill>
      <xdr:spPr>
        <a:xfrm>
          <a:off x="6591300" y="317450"/>
          <a:ext cx="1625886" cy="509251"/>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s>

</file>

<file path=xl/worksheets/_rels/sheet4.xml.rels><?xml version="1.0" encoding="UTF-8"?>
<Relationships xmlns="http://schemas.openxmlformats.org/package/2006/relationships"><Relationship Id="rId1" Type="http://schemas.openxmlformats.org/officeDocument/2006/relationships/drawing" Target="../drawings/drawing3.xml"/></Relationships>

</file>

<file path=xl/worksheets/_rels/sheet8.xml.rels><?xml version="1.0" encoding="UTF-8"?>
<Relationships xmlns="http://schemas.openxmlformats.org/package/2006/relationships"><Relationship Id="rId1" Type="http://schemas.openxmlformats.org/officeDocument/2006/relationships/drawing" Target="../drawings/drawing4.xml"/></Relationships>

</file>

<file path=xl/worksheets/_rels/sheet9.xml.rels><?xml version="1.0" encoding="UTF-8"?>
<Relationships xmlns="http://schemas.openxmlformats.org/package/2006/relationships"><Relationship Id="rId1" Type="http://schemas.openxmlformats.org/officeDocument/2006/relationships/drawing" Target="../drawings/drawing5.xml"/></Relationships>

</file>

<file path=xl/worksheets/sheet1.xml><?xml version="1.0" encoding="utf-8"?>
<worksheet xmlns:r="http://schemas.openxmlformats.org/officeDocument/2006/relationships" xmlns="http://schemas.openxmlformats.org/spreadsheetml/2006/main">
  <dimension ref="A1:X67"/>
  <sheetViews>
    <sheetView workbookViewId="0" showGridLines="0" defaultGridColor="1"/>
  </sheetViews>
  <sheetFormatPr defaultColWidth="9.16667" defaultRowHeight="12" customHeight="1" outlineLevelRow="0" outlineLevelCol="0"/>
  <cols>
    <col min="1" max="1" width="11.3516" style="1" customWidth="1"/>
    <col min="2" max="2" width="5.67188" style="1" customWidth="1"/>
    <col min="3" max="3" width="6.5" style="1" customWidth="1"/>
    <col min="4" max="4" width="5.5" style="1" customWidth="1"/>
    <col min="5" max="5" width="6.67188" style="1" customWidth="1"/>
    <col min="6" max="6" width="5.67188" style="1" customWidth="1"/>
    <col min="7" max="7" width="7.5" style="1" customWidth="1"/>
    <col min="8" max="8" width="7.17188" style="1" customWidth="1"/>
    <col min="9" max="9" width="7.5" style="1" customWidth="1"/>
    <col min="10" max="10" width="7.17188" style="1" customWidth="1"/>
    <col min="11" max="11" width="6.85156" style="1" customWidth="1"/>
    <col min="12" max="12" width="7.5" style="1" customWidth="1"/>
    <col min="13" max="13" width="8.5" style="1" customWidth="1"/>
    <col min="14" max="15" width="7.5" style="1" customWidth="1"/>
    <col min="16" max="16" width="5.85156" style="1" customWidth="1"/>
    <col min="17" max="17" width="7.17188" style="1" customWidth="1"/>
    <col min="18" max="18" width="15.5" style="1" customWidth="1"/>
    <col min="19" max="24" width="9.17188" style="1" customWidth="1"/>
    <col min="25" max="16384" width="9.17188" style="1" customWidth="1"/>
  </cols>
  <sheetData>
    <row r="1" ht="12" customHeight="1">
      <c r="A1" t="s" s="2">
        <v>0</v>
      </c>
      <c r="B1" s="3"/>
      <c r="C1" s="4"/>
      <c r="D1" s="5"/>
      <c r="E1" s="6"/>
      <c r="F1" s="7"/>
      <c r="G1" s="7"/>
      <c r="H1" s="7"/>
      <c r="I1" s="7"/>
      <c r="J1" s="7"/>
      <c r="K1" s="7"/>
      <c r="L1" s="7"/>
      <c r="M1" s="8"/>
      <c r="N1" s="8"/>
      <c r="O1" s="8"/>
      <c r="P1" s="8"/>
      <c r="Q1" s="8"/>
      <c r="R1" s="8"/>
      <c r="S1" s="8"/>
      <c r="T1" s="8"/>
      <c r="U1" s="8"/>
      <c r="V1" s="8"/>
      <c r="W1" s="8"/>
      <c r="X1" s="8"/>
    </row>
    <row r="2" ht="12" customHeight="1">
      <c r="A2" s="9"/>
      <c r="B2" s="10"/>
      <c r="C2" s="11"/>
      <c r="D2" s="12"/>
      <c r="E2" s="6"/>
      <c r="F2" s="7"/>
      <c r="G2" s="7"/>
      <c r="H2" s="7"/>
      <c r="I2" t="s" s="13">
        <v>1</v>
      </c>
      <c r="J2" s="7"/>
      <c r="K2" s="7"/>
      <c r="L2" s="7"/>
      <c r="M2" s="8"/>
      <c r="N2" s="8"/>
      <c r="O2" s="8"/>
      <c r="P2" s="8"/>
      <c r="Q2" s="8"/>
      <c r="R2" s="8"/>
      <c r="S2" s="8"/>
      <c r="T2" s="8"/>
      <c r="U2" s="8"/>
      <c r="V2" s="8"/>
      <c r="W2" s="8"/>
      <c r="X2" s="8"/>
    </row>
    <row r="3" ht="12" customHeight="1">
      <c r="A3" s="14"/>
      <c r="B3" s="15"/>
      <c r="C3" s="14"/>
      <c r="D3" s="16"/>
      <c r="E3" s="10"/>
      <c r="F3" s="7"/>
      <c r="G3" s="7"/>
      <c r="H3" s="7"/>
      <c r="I3" s="7"/>
      <c r="J3" s="7"/>
      <c r="K3" s="7"/>
      <c r="L3" s="7"/>
      <c r="M3" s="8"/>
      <c r="N3" s="8"/>
      <c r="O3" s="8"/>
      <c r="P3" s="8"/>
      <c r="Q3" s="8"/>
      <c r="R3" s="8"/>
      <c r="S3" s="8"/>
      <c r="T3" s="8"/>
      <c r="U3" s="8"/>
      <c r="V3" s="8"/>
      <c r="W3" s="8"/>
      <c r="X3" s="8"/>
    </row>
    <row r="4" ht="12" customHeight="1">
      <c r="A4" s="17"/>
      <c r="B4" t="s" s="18">
        <v>2</v>
      </c>
      <c r="C4" s="14"/>
      <c r="D4" s="16"/>
      <c r="E4" s="19"/>
      <c r="F4" s="6"/>
      <c r="G4" s="7"/>
      <c r="H4" s="7"/>
      <c r="I4" s="7"/>
      <c r="J4" s="7"/>
      <c r="K4" s="7"/>
      <c r="L4" s="7"/>
      <c r="M4" s="8"/>
      <c r="N4" s="8"/>
      <c r="O4" s="8"/>
      <c r="P4" s="8"/>
      <c r="Q4" s="8"/>
      <c r="R4" s="8"/>
      <c r="S4" s="8"/>
      <c r="T4" s="8"/>
      <c r="U4" s="8"/>
      <c r="V4" s="8"/>
      <c r="W4" s="8"/>
      <c r="X4" s="8"/>
    </row>
    <row r="5" ht="12" customHeight="1">
      <c r="A5" t="s" s="20">
        <v>3</v>
      </c>
      <c r="B5" s="21"/>
      <c r="C5" s="22">
        <v>100</v>
      </c>
      <c r="D5" s="21"/>
      <c r="E5" s="22">
        <v>200</v>
      </c>
      <c r="F5" s="6"/>
      <c r="G5" s="7"/>
      <c r="H5" s="7"/>
      <c r="I5" s="7"/>
      <c r="J5" s="7"/>
      <c r="K5" s="7"/>
      <c r="L5" s="7"/>
      <c r="M5" s="7"/>
      <c r="N5" s="7"/>
      <c r="O5" s="8"/>
      <c r="P5" s="8"/>
      <c r="Q5" s="8"/>
      <c r="R5" s="8"/>
      <c r="S5" s="8"/>
      <c r="T5" s="8"/>
      <c r="U5" s="8"/>
      <c r="V5" s="8"/>
      <c r="W5" s="8"/>
      <c r="X5" s="8"/>
    </row>
    <row r="6" ht="12" customHeight="1">
      <c r="A6" t="s" s="23">
        <v>4</v>
      </c>
      <c r="B6" s="24">
        <v>1</v>
      </c>
      <c r="C6" s="25">
        <v>1</v>
      </c>
      <c r="D6" s="24">
        <v>2</v>
      </c>
      <c r="E6" s="25">
        <v>15</v>
      </c>
      <c r="F6" s="6"/>
      <c r="G6" s="7"/>
      <c r="H6" s="7"/>
      <c r="I6" s="7">
        <f>57*60/(57*60+52)</f>
        <v>0.985023041474654</v>
      </c>
      <c r="J6" s="7"/>
      <c r="K6" s="7"/>
      <c r="L6" s="7"/>
      <c r="M6" s="7"/>
      <c r="N6" s="7"/>
      <c r="O6" s="8"/>
      <c r="P6" s="8"/>
      <c r="Q6" s="8"/>
      <c r="R6" s="8"/>
      <c r="S6" s="8"/>
      <c r="T6" s="8"/>
      <c r="U6" s="8"/>
      <c r="V6" s="8"/>
      <c r="W6" s="8"/>
      <c r="X6" s="8"/>
    </row>
    <row r="7" ht="12" customHeight="1">
      <c r="A7" s="26"/>
      <c r="B7" s="4"/>
      <c r="C7" s="27"/>
      <c r="D7" s="4"/>
      <c r="E7" s="27"/>
      <c r="F7" s="7"/>
      <c r="G7" s="7"/>
      <c r="H7" s="7"/>
      <c r="I7" s="7"/>
      <c r="J7" s="7"/>
      <c r="K7" s="7"/>
      <c r="L7" s="7"/>
      <c r="M7" s="7"/>
      <c r="N7" s="7"/>
      <c r="O7" s="8"/>
      <c r="P7" s="8"/>
      <c r="Q7" s="8"/>
      <c r="R7" s="8"/>
      <c r="S7" s="8"/>
      <c r="T7" s="8"/>
      <c r="U7" s="8"/>
      <c r="V7" s="8"/>
      <c r="W7" s="8"/>
      <c r="X7" s="8"/>
    </row>
    <row r="8" ht="12" customHeight="1">
      <c r="A8" s="8"/>
      <c r="B8" s="28"/>
      <c r="C8" s="29"/>
      <c r="D8" s="28"/>
      <c r="E8" s="29"/>
      <c r="F8" s="7"/>
      <c r="G8" t="s" s="13">
        <v>5</v>
      </c>
      <c r="H8" t="s" s="13">
        <v>6</v>
      </c>
      <c r="I8" t="s" s="13">
        <v>7</v>
      </c>
      <c r="J8" s="7"/>
      <c r="K8" s="7"/>
      <c r="L8" s="7"/>
      <c r="M8" s="7"/>
      <c r="N8" s="7"/>
      <c r="O8" s="8"/>
      <c r="P8" s="8"/>
      <c r="Q8" s="8"/>
      <c r="R8" s="8"/>
      <c r="S8" s="8"/>
      <c r="T8" s="8"/>
      <c r="U8" s="8"/>
      <c r="V8" s="8"/>
      <c r="W8" s="8"/>
      <c r="X8" s="8"/>
    </row>
    <row r="9" ht="11.25" customHeight="1">
      <c r="A9" s="11"/>
      <c r="B9" s="10"/>
      <c r="C9" s="10">
        <v>16</v>
      </c>
      <c r="D9" s="30">
        <v>12</v>
      </c>
      <c r="E9" s="10">
        <v>12</v>
      </c>
      <c r="F9" s="10">
        <v>8</v>
      </c>
      <c r="G9" s="10">
        <v>8</v>
      </c>
      <c r="H9" s="10">
        <v>4</v>
      </c>
      <c r="I9" s="10">
        <v>4</v>
      </c>
      <c r="J9" s="10">
        <v>2</v>
      </c>
      <c r="K9" s="10">
        <v>2</v>
      </c>
      <c r="L9" s="10">
        <v>1</v>
      </c>
      <c r="M9" s="7"/>
      <c r="N9" s="7"/>
      <c r="O9" s="8"/>
      <c r="P9" s="8"/>
      <c r="Q9" s="8"/>
      <c r="R9" s="8"/>
      <c r="S9" s="8"/>
      <c r="T9" s="8"/>
      <c r="U9" s="8"/>
      <c r="V9" s="8"/>
      <c r="W9" s="8"/>
      <c r="X9" s="8"/>
    </row>
    <row r="10" ht="12" customHeight="1">
      <c r="A10" t="s" s="31">
        <v>8</v>
      </c>
      <c r="B10" s="32"/>
      <c r="C10" t="s" s="33">
        <v>9</v>
      </c>
      <c r="D10" t="s" s="34">
        <v>10</v>
      </c>
      <c r="E10" t="s" s="35">
        <v>11</v>
      </c>
      <c r="F10" t="s" s="36">
        <v>10</v>
      </c>
      <c r="G10" t="s" s="33">
        <v>12</v>
      </c>
      <c r="H10" t="s" s="34">
        <v>10</v>
      </c>
      <c r="I10" t="s" s="37">
        <v>11</v>
      </c>
      <c r="J10" t="s" s="38">
        <v>13</v>
      </c>
      <c r="K10" t="s" s="33">
        <v>14</v>
      </c>
      <c r="L10" t="s" s="34">
        <v>13</v>
      </c>
      <c r="M10" s="9"/>
      <c r="N10" s="7"/>
      <c r="O10" t="s" s="13">
        <v>15</v>
      </c>
      <c r="P10" t="s" s="13">
        <v>16</v>
      </c>
      <c r="Q10" s="8"/>
      <c r="R10" s="8"/>
      <c r="S10" s="8"/>
      <c r="T10" s="8"/>
      <c r="U10" s="8"/>
      <c r="V10" s="8"/>
      <c r="W10" s="8"/>
      <c r="X10" s="8"/>
    </row>
    <row r="11" ht="12" customHeight="1">
      <c r="A11" t="s" s="39">
        <v>17</v>
      </c>
      <c r="B11" t="s" s="40">
        <v>18</v>
      </c>
      <c r="C11" t="s" s="41">
        <v>19</v>
      </c>
      <c r="D11" t="s" s="42">
        <v>20</v>
      </c>
      <c r="E11" s="43"/>
      <c r="F11" t="s" s="42">
        <v>21</v>
      </c>
      <c r="G11" s="43"/>
      <c r="H11" t="s" s="42">
        <v>22</v>
      </c>
      <c r="I11" s="43"/>
      <c r="J11" t="s" s="42">
        <v>23</v>
      </c>
      <c r="K11" s="43"/>
      <c r="L11" t="s" s="42">
        <v>24</v>
      </c>
      <c r="M11" s="43"/>
      <c r="N11" s="44"/>
      <c r="O11" s="8"/>
      <c r="P11" s="8"/>
      <c r="Q11" s="45"/>
      <c r="R11" s="45"/>
      <c r="S11" s="45"/>
      <c r="T11" s="45"/>
      <c r="U11" s="45"/>
      <c r="V11" s="45"/>
      <c r="W11" s="45"/>
      <c r="X11" s="45"/>
    </row>
    <row r="12" ht="12" customHeight="1">
      <c r="A12" t="s" s="46">
        <v>25</v>
      </c>
      <c r="B12" t="s" s="47">
        <v>26</v>
      </c>
      <c r="C12" t="s" s="48">
        <v>27</v>
      </c>
      <c r="D12" t="s" s="47">
        <v>26</v>
      </c>
      <c r="E12" t="s" s="48">
        <v>27</v>
      </c>
      <c r="F12" t="s" s="47">
        <v>26</v>
      </c>
      <c r="G12" t="s" s="48">
        <v>27</v>
      </c>
      <c r="H12" t="s" s="47">
        <v>26</v>
      </c>
      <c r="I12" t="s" s="48">
        <v>27</v>
      </c>
      <c r="J12" t="s" s="47">
        <v>26</v>
      </c>
      <c r="K12" t="s" s="48">
        <v>27</v>
      </c>
      <c r="L12" t="s" s="47">
        <v>26</v>
      </c>
      <c r="M12" t="s" s="48">
        <v>27</v>
      </c>
      <c r="N12" s="44"/>
      <c r="O12" t="s" s="13">
        <v>28</v>
      </c>
      <c r="P12" t="s" s="13">
        <v>29</v>
      </c>
      <c r="Q12" t="s" s="49">
        <v>30</v>
      </c>
      <c r="R12" t="s" s="49">
        <v>31</v>
      </c>
      <c r="S12" t="s" s="49">
        <v>15</v>
      </c>
      <c r="T12" s="50"/>
      <c r="U12" s="50"/>
      <c r="V12" s="45"/>
      <c r="W12" s="50"/>
      <c r="X12" s="50"/>
    </row>
    <row r="13" ht="12" customHeight="1">
      <c r="A13" s="51">
        <v>50</v>
      </c>
      <c r="B13" s="52">
        <f>TRUNC((A13/((($C$5/(($B$6*60)+$C$6)))+((($E$5/(($D$6*60)+$E$6))-($C$5/(($B$6*60)+$C$6))))*((0.75^(LOG(($A13/100),2)))-(0.75^(LOG(($C$5/100),2))))/((0.75^(LOG(($E$5/100),2)))-(0.75^(LOG(($C$5/100),2))))))/60)</f>
        <v>0</v>
      </c>
      <c r="C13" s="53">
        <f>MOD((A13/((($C$5/(($B$6*60)+$C$6)))+((($E$5/(($D$6*60)+$E$6))-($C$5/(($B$6*60)+$C$6))))*((0.75^(LOG(($A13/100),2)))-(0.75^(LOG(($C$5/100),2))))/((0.75^(LOG(($E$5/100),2)))-(0.75^(LOG(($C$5/100),2)))))),60)</f>
        <v>27.0295404814004</v>
      </c>
      <c r="D13" s="52">
        <f>TRUNC(A13/(A15/(B15*60+C15)-0.25*(A13/(B13*60+C13)-A15/(B15*60+C15)))/60)</f>
        <v>0</v>
      </c>
      <c r="E13" s="53">
        <f>MOD(A13/(A15/(B15*60+C15)-0.25*(A13/(B13*60+C13)-A15/(B15*60+C15))),60)</f>
        <v>31.5114795918367</v>
      </c>
      <c r="F13" s="52">
        <f>TRUNC((2*A13/((A15/((B15*60)+C15))+(A13/((H13*60)+I13))))/60)</f>
        <v>0</v>
      </c>
      <c r="G13" s="53">
        <f>MOD((2*A13/((A15/((B15*60)+C15))+(A13/((H13*60)+I13)))),60)</f>
        <v>32.5923482849604</v>
      </c>
      <c r="H13" s="52">
        <f>TRUNC((A13/(((A13/((B13*60)+C13))+(A13/((L13*60)+M13)))/2))/60)</f>
        <v>0</v>
      </c>
      <c r="I13" s="53">
        <f>MOD((A13/(((A13/((B13*60)+C13))+(A13/((L13*60)+M13)))/2)),60)</f>
        <v>34.9929178470255</v>
      </c>
      <c r="J13" s="52">
        <f>TRUNC((2*A13/((A13/(H13*60+I13))+(A13/(L13*60+M13))))/60)</f>
        <v>0</v>
      </c>
      <c r="K13" s="53">
        <f>MOD((2*A13/((A13/(H13*60+I13))+(A13/(L13*60+M13)))),60)</f>
        <v>41.0382059800665</v>
      </c>
      <c r="L13" s="54">
        <f>TRUNC((A13/((4*($A$17/(($B$17*60)+$C$17)))-(3*($A$15/(($B$15*60)+$C$15)))))/60)</f>
        <v>0</v>
      </c>
      <c r="M13" s="53">
        <f>MOD((A13/((4*($A$17/(($B$17*60)+$C$17)))-(3*($A$15/(($B$15*60)+$C$15))))),60)</f>
        <v>49.6084337349398</v>
      </c>
      <c r="N13" s="55"/>
      <c r="O13" s="45">
        <f>C13+B13*60</f>
        <v>27.0295404814004</v>
      </c>
      <c r="P13" s="56">
        <f>A13</f>
        <v>50</v>
      </c>
      <c r="Q13" s="57">
        <f>P13/O13</f>
        <v>1.84982797004655</v>
      </c>
      <c r="R13" s="57">
        <f>P13/(H13*60+I13)</f>
        <v>1.42886055454361</v>
      </c>
      <c r="S13" s="58">
        <v>1.58659538866342</v>
      </c>
      <c r="T13" s="59"/>
      <c r="U13" s="59"/>
      <c r="V13" s="59"/>
      <c r="W13" s="59"/>
      <c r="X13" s="59"/>
    </row>
    <row r="14" ht="12" customHeight="1">
      <c r="A14" s="60">
        <v>75</v>
      </c>
      <c r="B14" s="61">
        <f>TRUNC((A14/((($C$5/(($B$6*60)+$C$6)))+((($E$5/(($D$6*60)+$E$6))-($C$5/(($B$6*60)+$C$6))))*((0.75^(LOG(($A14/100),2)))-(0.75^(LOG(($C$5/100),2))))/((0.75^(LOG(($E$5/100),2)))-(0.75^(LOG(($C$5/100),2))))))/60)</f>
        <v>0</v>
      </c>
      <c r="C14" s="62">
        <f>MOD((A14/((($C$5/(($B$6*60)+$C$6)))+((($E$5/(($D$6*60)+$E$6))-($C$5/(($B$6*60)+$C$6))))*((0.75^(LOG(($A14/100),2)))-(0.75^(LOG(($C$5/100),2))))/((0.75^(LOG(($E$5/100),2)))-(0.75^(LOG(($C$5/100),2)))))),60)</f>
        <v>43.6192477520858</v>
      </c>
      <c r="D14" s="61">
        <f>TRUNC(A14/(A16/(B16*60+C16)-0.25*(A14/(B14*60+C14)-A16/(B16*60+C16)))/60)</f>
        <v>0</v>
      </c>
      <c r="E14" s="62">
        <f>MOD(A14/(A16/(B16*60+C16)-0.25*(A14/(B14*60+C14)-A16/(B16*60+C16))),60)</f>
        <v>50.0978277525144</v>
      </c>
      <c r="F14" s="61">
        <f>TRUNC((2*A14/((A16/((B16*60)+C16))+(A14/((H14*60)+I14))))/60)</f>
        <v>0</v>
      </c>
      <c r="G14" s="62">
        <f>MOD((2*A14/((A16/((B16*60)+C16))+(A14/((H14*60)+I14)))),60)</f>
        <v>51.631550348465</v>
      </c>
      <c r="H14" s="61">
        <f>TRUNC((A14/(((A14/((B14*60)+C14))+(A14/((L14*60)+M14)))/2))/60)</f>
        <v>0</v>
      </c>
      <c r="I14" s="62">
        <f>MOD((A14/(((A14/((B14*60)+C14))+(A14/((L14*60)+M14)))/2)),60)</f>
        <v>54.9990957998055</v>
      </c>
      <c r="J14" s="61">
        <f>TRUNC((2*A14/((A14/(H14*60+I14))+(A14/(L14*60+M14))))/60)</f>
        <v>1</v>
      </c>
      <c r="K14" s="62">
        <f>MOD((2*A14/((A14/(H14*60+I14))+(A14/(L14*60+M14)))),60)</f>
        <v>3.24972211532303</v>
      </c>
      <c r="L14" s="63">
        <f>TRUNC((A14/((4*($A$17/(($B$17*60)+$C$17)))-(3*($A$15/(($B$15*60)+$C$15)))))/60)</f>
        <v>1</v>
      </c>
      <c r="M14" s="62">
        <f>MOD((A14/((4*($A$17/(($B$17*60)+$C$17)))-(3*($A$15/(($B$15*60)+$C$15))))),60)</f>
        <v>14.4126506024096</v>
      </c>
      <c r="N14" s="55"/>
      <c r="O14" s="45">
        <f>C14+B14*60</f>
        <v>43.6192477520858</v>
      </c>
      <c r="P14" s="56">
        <f>A14</f>
        <v>75</v>
      </c>
      <c r="Q14" s="57">
        <f>P14/O14</f>
        <v>1.71942442534245</v>
      </c>
      <c r="R14" s="57">
        <f>P14/(H14*60+I14)</f>
        <v>1.36365878219157</v>
      </c>
      <c r="S14" s="58">
        <v>1.57756537116653</v>
      </c>
      <c r="T14" s="59"/>
      <c r="U14" s="59"/>
      <c r="V14" s="59"/>
      <c r="W14" s="59"/>
      <c r="X14" s="59"/>
    </row>
    <row r="15" ht="12" customHeight="1">
      <c r="A15" s="60">
        <v>100</v>
      </c>
      <c r="B15" s="61">
        <f>TRUNC((A15/((($C$5/(($B$6*60)+$C$6)))+((($E$5/(($D$6*60)+$E$6))-($C$5/(($B$6*60)+$C$6))))*((0.75^(LOG(($A15/100),2)))-(0.75^(LOG(($C$5/100),2))))/((0.75^(LOG(($E$5/100),2)))-(0.75^(LOG(($C$5/100),2))))))/60)</f>
        <v>1</v>
      </c>
      <c r="C15" s="62">
        <f>MOD((A15/((($C$5/(($B$6*60)+$C$6)))+((($E$5/(($D$6*60)+$E$6))-($C$5/(($B$6*60)+$C$6))))*((0.75^(LOG(($A15/100),2)))-(0.75^(LOG(($C$5/100),2))))/((0.75^(LOG(($E$5/100),2)))-(0.75^(LOG(($C$5/100),2)))))),60)</f>
        <v>1</v>
      </c>
      <c r="D15" s="61">
        <f>TRUNC(A15/(A17/(B17*60+C17)-0.25*(A15/(B15*60+C15)-A17/(B17*60+C17)))/60)</f>
        <v>1</v>
      </c>
      <c r="E15" s="62">
        <f>MOD(A15/(A17/(B17*60+C17)-0.25*(A15/(B15*60+C15)-A17/(B17*60+C17))),60)</f>
        <v>9.34736842105263</v>
      </c>
      <c r="F15" s="61">
        <f>TRUNC((2*A15/((A17/((B17*60)+C17))+(A15/((H15*60)+I15))))/60)</f>
        <v>1</v>
      </c>
      <c r="G15" s="62">
        <f>MOD((2*A15/((A17/((B17*60)+C17))+(A15/((H15*60)+I15)))),60)</f>
        <v>11.2987012987013</v>
      </c>
      <c r="H15" s="61">
        <f>TRUNC((A15/(((A15/((B15*60)+C15))+(A15/((L15*60)+M15)))/2))/60)</f>
        <v>1</v>
      </c>
      <c r="I15" s="62">
        <f>MOD((A15/(((A15/((B15*60)+C15))+(A15/((L15*60)+M15)))/2)),60)</f>
        <v>15.5504587155963</v>
      </c>
      <c r="J15" s="61">
        <f>TRUNC((2*A15/((A15/(H15*60+I15))+(A15/(L15*60+M15))))/60)</f>
        <v>1</v>
      </c>
      <c r="K15" s="62">
        <f>MOD((2*A15/((A15/(H15*60+I15))+(A15/(L15*60+M15)))),60)</f>
        <v>25.78125</v>
      </c>
      <c r="L15" s="63">
        <f>TRUNC((A15/((4*($A$17/(($B$17*60)+$C$17)))-(3*($A$15/(($B$15*60)+$C$15)))))/60)</f>
        <v>1</v>
      </c>
      <c r="M15" s="62">
        <f>MOD((A15/((4*($A$17/(($B$17*60)+$C$17)))-(3*($A$15/(($B$15*60)+$C$15))))),60)</f>
        <v>39.2168674698795</v>
      </c>
      <c r="N15" s="55"/>
      <c r="O15" s="45">
        <f>C15+B15*60</f>
        <v>61</v>
      </c>
      <c r="P15" s="56">
        <f>A15</f>
        <v>100</v>
      </c>
      <c r="Q15" s="57">
        <f>P15/O15</f>
        <v>1.63934426229508</v>
      </c>
      <c r="R15" s="57">
        <f>P15/(H15*60+I15)</f>
        <v>1.32361870066788</v>
      </c>
      <c r="S15" s="64">
        <v>1.56391605051949</v>
      </c>
      <c r="T15" s="59"/>
      <c r="U15" s="59"/>
      <c r="V15" s="59"/>
      <c r="W15" s="59"/>
      <c r="X15" s="59"/>
    </row>
    <row r="16" ht="12" customHeight="1">
      <c r="A16" s="60">
        <v>150</v>
      </c>
      <c r="B16" s="61">
        <f>TRUNC((A16/((($C$5/(($B$6*60)+$C$6)))+((($E$5/(($D$6*60)+$E$6))-($C$5/(($B$6*60)+$C$6))))*((0.75^(LOG(($A16/100),2)))-(0.75^(LOG(($C$5/100),2))))/((0.75^(LOG(($E$5/100),2)))-(0.75^(LOG(($C$5/100),2))))))/60)</f>
        <v>1</v>
      </c>
      <c r="C16" s="62">
        <f>MOD((A16/((($C$5/(($B$6*60)+$C$6)))+((($E$5/(($D$6*60)+$E$6))-($C$5/(($B$6*60)+$C$6))))*((0.75^(LOG(($A16/100),2)))-(0.75^(LOG(($C$5/100),2))))/((0.75^(LOG(($E$5/100),2)))-(0.75^(LOG(($C$5/100),2)))))),60)</f>
        <v>37.3051908773987</v>
      </c>
      <c r="D16" s="61">
        <f>TRUNC(A16/(A18/(B18*60+C18)-0.25*(A16/(B16*60+C16)-A18/(B18*60+C18)))/60)</f>
        <v>1</v>
      </c>
      <c r="E16" s="62">
        <f>MOD(A16/(A18/(B18*60+C18)-0.25*(A16/(B16*60+C16)-A18/(B18*60+C18))),60)</f>
        <v>46.0743008480894</v>
      </c>
      <c r="F16" s="61">
        <f>TRUNC((2*A16/((A18/((B18*60)+C18))+(A16/((H16*60)+I16))))/60)</f>
        <v>1</v>
      </c>
      <c r="G16" s="62">
        <f>MOD((2*A16/((A18/((B18*60)+C18))+(A16/((H16*60)+I16)))),60)</f>
        <v>50.5254005887977</v>
      </c>
      <c r="H16" s="61">
        <f>TRUNC((A16/(((A16/((B16*60)+C16))+(A16/((L16*60)+M16)))/2))/60)</f>
        <v>1</v>
      </c>
      <c r="I16" s="62">
        <f>MOD((A16/(((A16/((B16*60)+C16))+(A16/((L16*60)+M16)))/2)),60)</f>
        <v>57.673143368875</v>
      </c>
      <c r="J16" s="61">
        <f>TRUNC((2*A16/((A16/(H16*60+I16))+(A16/(L16*60+M16))))/60)</f>
        <v>2</v>
      </c>
      <c r="K16" s="62">
        <f>MOD((2*A16/((A16/(H16*60+I16))+(A16/(L16*60+M16)))),60)</f>
        <v>11.4284669361208</v>
      </c>
      <c r="L16" s="63">
        <f>TRUNC((A16/((4*($A$17/(($B$17*60)+$C$17)))-(3*($A$15/(($B$15*60)+$C$15)))))/60)</f>
        <v>2</v>
      </c>
      <c r="M16" s="62">
        <f>MOD((A16/((4*($A$17/(($B$17*60)+$C$17)))-(3*($A$15/(($B$15*60)+$C$15))))),60)</f>
        <v>28.8253012048193</v>
      </c>
      <c r="N16" s="55"/>
      <c r="O16" s="45">
        <f>C16+B16*60</f>
        <v>97.3051908773987</v>
      </c>
      <c r="P16" s="56">
        <f>A16</f>
        <v>150</v>
      </c>
      <c r="Q16" s="57">
        <f>P16/O16</f>
        <v>1.54154160376701</v>
      </c>
      <c r="R16" s="57">
        <f>P16/(H16*60+I16)</f>
        <v>1.27471737140384</v>
      </c>
      <c r="S16" s="64">
        <v>1.55534531991901</v>
      </c>
      <c r="T16" s="59"/>
      <c r="U16" s="59"/>
      <c r="V16" s="59"/>
      <c r="W16" s="59"/>
      <c r="X16" s="59"/>
    </row>
    <row r="17" ht="12" customHeight="1">
      <c r="A17" s="60">
        <v>200</v>
      </c>
      <c r="B17" s="61">
        <f>TRUNC((A17/((($C$5/(($B$6*60)+$C$6)))+((($E$5/(($D$6*60)+$E$6))-($C$5/(($B$6*60)+$C$6))))*((0.75^(LOG(($A17/100),2)))-(0.75^(LOG(($C$5/100),2))))/((0.75^(LOG(($E$5/100),2)))-(0.75^(LOG(($C$5/100),2))))))/60)</f>
        <v>2</v>
      </c>
      <c r="C17" s="62">
        <f>MOD((A17/((($C$5/(($B$6*60)+$C$6)))+((($E$5/(($D$6*60)+$E$6))-($C$5/(($B$6*60)+$C$6))))*((0.75^(LOG(($A17/100),2)))-(0.75^(LOG(($C$5/100),2))))/((0.75^(LOG(($E$5/100),2)))-(0.75^(LOG(($C$5/100),2)))))),60)</f>
        <v>15</v>
      </c>
      <c r="D17" s="61">
        <f>TRUNC(A17/(A19/(B19*60+C19)-0.25*(A17/(B17*60+C17)-A19/(B19*60+C19)))/60)</f>
        <v>2</v>
      </c>
      <c r="E17" s="62">
        <f>MOD(A17/(A19/(B19*60+C19)-0.25*(A17/(B17*60+C17)-A19/(B19*60+C19))),60)</f>
        <v>23.9064791855026</v>
      </c>
      <c r="F17" s="61">
        <f>TRUNC((2*A17/((A19/((B19*60)+C19))+(A17/((H17*60)+I17))))/60)</f>
        <v>2</v>
      </c>
      <c r="G17" s="62">
        <f>MOD((2*A17/((A19/((B19*60)+C19))+(A17/((H17*60)+I17)))),60)</f>
        <v>30.7831224247036</v>
      </c>
      <c r="H17" s="61">
        <f>TRUNC((A17/(((A17/((B17*60)+C17))+(A17/((L17*60)+M17)))/2))/60)</f>
        <v>2</v>
      </c>
      <c r="I17" s="62">
        <f>MOD((A17/(((A17/((B17*60)+C17))+(A17/((L17*60)+M17)))/2)),60)</f>
        <v>40.6829268292683</v>
      </c>
      <c r="J17" s="61">
        <f>TRUNC((2*A17/((A17/(H17*60+I17))+(A17/(L17*60+M17))))/60)</f>
        <v>2</v>
      </c>
      <c r="K17" s="62">
        <f>MOD((2*A17/((A17/(H17*60+I17))+(A17/(L17*60+M17)))),60)</f>
        <v>57.5741239892183</v>
      </c>
      <c r="L17" s="63">
        <f>TRUNC((A17/((4*($A$17/(($B$17*60)+$C$17)))-(3*($A$15/(($B$15*60)+$C$15)))))/60)</f>
        <v>3</v>
      </c>
      <c r="M17" s="62">
        <f>MOD((A17/((4*($A$17/(($B$17*60)+$C$17)))-(3*($A$15/(($B$15*60)+$C$15))))),60)</f>
        <v>18.433734939759</v>
      </c>
      <c r="N17" s="55"/>
      <c r="O17" s="45">
        <f>C17+B17*60</f>
        <v>135</v>
      </c>
      <c r="P17" s="56">
        <f>A17</f>
        <v>200</v>
      </c>
      <c r="Q17" s="57">
        <f>P17/O17</f>
        <v>1.48148148148148</v>
      </c>
      <c r="R17" s="57">
        <f>P17/(H17*60+I17)</f>
        <v>1.24468731026108</v>
      </c>
      <c r="S17" s="64">
        <v>1.54897053295143</v>
      </c>
      <c r="T17" s="59"/>
      <c r="U17" s="59"/>
      <c r="V17" s="59"/>
      <c r="W17" s="59"/>
      <c r="X17" s="59"/>
    </row>
    <row r="18" ht="12" customHeight="1">
      <c r="A18" s="60">
        <v>250</v>
      </c>
      <c r="B18" s="61">
        <f>TRUNC((A18/((($C$5/(($B$6*60)+$C$6)))+((($E$5/(($D$6*60)+$E$6))-($C$5/(($B$6*60)+$C$6))))*((0.75^(LOG(($A18/100),2)))-(0.75^(LOG(($C$5/100),2))))/((0.75^(LOG(($E$5/100),2)))-(0.75^(LOG(($C$5/100),2))))))/60)</f>
        <v>2</v>
      </c>
      <c r="C18" s="62">
        <f>MOD((A18/((($C$5/(($B$6*60)+$C$6)))+((($E$5/(($D$6*60)+$E$6))-($C$5/(($B$6*60)+$C$6))))*((0.75^(LOG(($A18/100),2)))-(0.75^(LOG(($C$5/100),2))))/((0.75^(LOG(($E$5/100),2)))-(0.75^(LOG(($C$5/100),2)))))),60)</f>
        <v>53.6604574049097</v>
      </c>
      <c r="D18" s="61">
        <f>TRUNC(A18/(A20/(B20*60+C20)-0.25*(A18/(B18*60+C18)-A20/(B20*60+C20)))/60)</f>
        <v>3</v>
      </c>
      <c r="E18" s="62">
        <f>MOD(A18/(A20/(B20*60+C20)-0.25*(A18/(B18*60+C18)-A20/(B20*60+C20))),60)</f>
        <v>6.01774684882263</v>
      </c>
      <c r="F18" s="61">
        <f>TRUNC((2*A18/((A20/((B20*60)+C20))+(A18/((H18*60)+I18))))/60)</f>
        <v>3</v>
      </c>
      <c r="G18" s="62">
        <f>MOD((2*A18/((A20/((B20*60)+C20))+(A18/((H18*60)+I18)))),60)</f>
        <v>13.2870349980556</v>
      </c>
      <c r="H18" s="61">
        <f>TRUNC((A18/(((A18/((B18*60)+C18))+(A18/((L18*60)+M18)))/2))/60)</f>
        <v>3</v>
      </c>
      <c r="I18" s="62">
        <f>MOD((A18/(((A18/((B18*60)+C18))+(A18/((L18*60)+M18)))/2)),60)</f>
        <v>24.2914309934712</v>
      </c>
      <c r="J18" s="61">
        <f>TRUNC((2*A18/((A18/(H18*60+I18))+(A18/(L18*60+M18))))/60)</f>
        <v>3</v>
      </c>
      <c r="K18" s="62">
        <f>MOD((2*A18/((A18/(H18*60+I18))+(A18/(L18*60+M18)))),60)</f>
        <v>44.0509642549286</v>
      </c>
      <c r="L18" s="63">
        <f>TRUNC((A18/((4*($A$17/(($B$17*60)+$C$17)))-(3*($A$15/(($B$15*60)+$C$15)))))/60)</f>
        <v>4</v>
      </c>
      <c r="M18" s="62">
        <f>MOD((A18/((4*($A$17/(($B$17*60)+$C$17)))-(3*($A$15/(($B$15*60)+$C$15))))),60)</f>
        <v>8.0421686746988</v>
      </c>
      <c r="N18" s="55"/>
      <c r="O18" s="45">
        <f>C18+B18*60</f>
        <v>173.660457404910</v>
      </c>
      <c r="P18" s="56">
        <f>A18</f>
        <v>250</v>
      </c>
      <c r="Q18" s="57">
        <f>P18/O18</f>
        <v>1.4395908184043</v>
      </c>
      <c r="R18" s="57">
        <f>P18/(H18*60+I18)</f>
        <v>1.22374197872249</v>
      </c>
      <c r="S18" s="64">
        <v>1.54385815150286</v>
      </c>
      <c r="T18" s="59"/>
      <c r="U18" s="59"/>
      <c r="V18" s="59"/>
      <c r="W18" s="59"/>
      <c r="X18" s="59"/>
    </row>
    <row r="19" ht="12" customHeight="1">
      <c r="A19" s="60">
        <v>300</v>
      </c>
      <c r="B19" s="61">
        <f>TRUNC((A19/((($C$5/(($B$6*60)+$C$6)))+((($E$5/(($D$6*60)+$E$6))-($C$5/(($B$6*60)+$C$6))))*((0.75^(LOG(($A19/100),2)))-(0.75^(LOG(($C$5/100),2))))/((0.75^(LOG(($E$5/100),2)))-(0.75^(LOG(($C$5/100),2))))))/60)</f>
        <v>3</v>
      </c>
      <c r="C19" s="62">
        <f>MOD((A19/((($C$5/(($B$6*60)+$C$6)))+((($E$5/(($D$6*60)+$E$6))-($C$5/(($B$6*60)+$C$6))))*((0.75^(LOG(($A19/100),2)))-(0.75^(LOG(($C$5/100),2))))/((0.75^(LOG(($E$5/100),2)))-(0.75^(LOG(($C$5/100),2)))))),60)</f>
        <v>33.0485886737744</v>
      </c>
      <c r="D19" s="61">
        <f>TRUNC(A19/(A21/(B21*60+C21)-0.25*(A19/(B19*60+C19)-A21/(B21*60+C21)))/60)</f>
        <v>3</v>
      </c>
      <c r="E19" s="62">
        <f>MOD(A19/(A21/(B21*60+C21)-0.25*(A19/(B19*60+C19)-A21/(B21*60+C21))),60)</f>
        <v>48.5626123571917</v>
      </c>
      <c r="F19" s="61">
        <f>TRUNC((2*A19/((A21/((B21*60)+C21))+(A19/((H19*60)+I19))))/60)</f>
        <v>3</v>
      </c>
      <c r="G19" s="62">
        <f>MOD((2*A19/((A21/((B21*60)+C21))+(A19/((H19*60)+I19)))),60)</f>
        <v>56.2504490999716</v>
      </c>
      <c r="H19" s="61">
        <f>TRUNC((A19/(((A19/((B19*60)+C19))+(A19/((L19*60)+M19)))/2))/60)</f>
        <v>4</v>
      </c>
      <c r="I19" s="62">
        <f>MOD((A19/(((A19/((B19*60)+C19))+(A19/((L19*60)+M19)))/2)),60)</f>
        <v>8.34204505687098</v>
      </c>
      <c r="J19" s="61">
        <f>TRUNC((2*A19/((A19/(H19*60+I19))+(A19/(L19*60+M19))))/60)</f>
        <v>4</v>
      </c>
      <c r="K19" s="62">
        <f>MOD((2*A19/((A19/(H19*60+I19))+(A19/(L19*60+M19)))),60)</f>
        <v>30.7697975707754</v>
      </c>
      <c r="L19" s="63">
        <f>TRUNC((A19/((4*($A$17/(($B$17*60)+$C$17)))-(3*($A$15/(($B$15*60)+$C$15)))))/60)</f>
        <v>4</v>
      </c>
      <c r="M19" s="62">
        <f>MOD((A19/((4*($A$17/(($B$17*60)+$C$17)))-(3*($A$15/(($B$15*60)+$C$15))))),60)</f>
        <v>57.6506024096386</v>
      </c>
      <c r="N19" s="55"/>
      <c r="O19" s="45">
        <f>C19+B19*60</f>
        <v>213.048588673774</v>
      </c>
      <c r="P19" s="56">
        <f>A19</f>
        <v>300</v>
      </c>
      <c r="Q19" s="57">
        <f>P19/O19</f>
        <v>1.40812948758543</v>
      </c>
      <c r="R19" s="57">
        <f>P19/(H19*60+I19)</f>
        <v>1.20801131331305</v>
      </c>
      <c r="S19" s="64">
        <v>1.53654663455381</v>
      </c>
      <c r="T19" s="59"/>
      <c r="U19" s="59"/>
      <c r="V19" s="59"/>
      <c r="W19" s="59"/>
      <c r="X19" s="59"/>
    </row>
    <row r="20" ht="12" customHeight="1">
      <c r="A20" s="60">
        <v>400</v>
      </c>
      <c r="B20" s="65">
        <f>TRUNC((A20/((($C$5/(($B$6*60)+$C$6)))+((($E$5/(($D$6*60)+$E$6))-($C$5/(($B$6*60)+$C$6))))*((0.75^(LOG(($A20/100),2)))-(0.75^(LOG(($C$5/100),2))))/((0.75^(LOG(($E$5/100),2)))-(0.75^(LOG(($C$5/100),2))))))/60)</f>
        <v>4</v>
      </c>
      <c r="C20" s="62">
        <f>MOD((A20/((($C$5/(($B$6*60)+$C$6)))+((($E$5/(($D$6*60)+$E$6))-($C$5/(($B$6*60)+$C$6))))*((0.75^(LOG(($A20/100),2)))-(0.75^(LOG(($C$5/100),2))))/((0.75^(LOG(($E$5/100),2)))-(0.75^(LOG(($C$5/100),2)))))),60)</f>
        <v>53.4521158129176</v>
      </c>
      <c r="D20" s="61">
        <f>TRUNC(A20/(A22/(B22*60+C22)-0.25*(A20/(B20*60+C20)-A22/(B22*60+C22)))/60)</f>
        <v>5</v>
      </c>
      <c r="E20" s="62">
        <f>MOD(A20/(A22/(B22*60+C22)-0.25*(A20/(B20*60+C20)-A22/(B22*60+C22))),60)</f>
        <v>9.043325871329349</v>
      </c>
      <c r="F20" s="61">
        <f>TRUNC((2*A20/((A22/((B22*60)+C22))+(A20/((H20*60)+I20))))/60)</f>
        <v>5</v>
      </c>
      <c r="G20" s="62">
        <f>MOD((2*A20/((A22/((B22*60)+C22))+(A20/((H20*60)+I20)))),60)</f>
        <v>20.8265559914751</v>
      </c>
      <c r="H20" s="61">
        <f>TRUNC((A20/(((A20/((B20*60)+C20))+(A20/((L20*60)+M20)))/2))/60)</f>
        <v>5</v>
      </c>
      <c r="I20" s="62">
        <f>MOD((A20/(((A20/((B20*60)+C20))+(A20/((L20*60)+M20)))/2)),60)</f>
        <v>37.4135723431498</v>
      </c>
      <c r="J20" s="61">
        <f>TRUNC((2*A20/((A20/(H20*60+I20))+(A20/(L20*60+M20))))/60)</f>
        <v>6</v>
      </c>
      <c r="K20" s="62">
        <f>MOD((2*A20/((A20/(H20*60+I20))+(A20/(L20*60+M20)))),60)</f>
        <v>4.73356401384084</v>
      </c>
      <c r="L20" s="63">
        <f>TRUNC((A20/((4*($A$17/(($B$17*60)+$C$17)))-(3*($A$15/(($B$15*60)+$C$15)))))/60)</f>
        <v>6</v>
      </c>
      <c r="M20" s="62">
        <f>MOD((A20/((4*($A$17/(($B$17*60)+$C$17)))-(3*($A$15/(($B$15*60)+$C$15))))),60)</f>
        <v>36.8674698795181</v>
      </c>
      <c r="N20" s="55"/>
      <c r="O20" s="45">
        <f>C20+B20*60</f>
        <v>293.452115812918</v>
      </c>
      <c r="P20" s="56">
        <f>A20</f>
        <v>400</v>
      </c>
      <c r="Q20" s="57">
        <f>P20/O20</f>
        <v>1.36308439587128</v>
      </c>
      <c r="R20" s="57">
        <f>P20/(H20*60+I20)</f>
        <v>1.18548876745598</v>
      </c>
      <c r="S20" s="64">
        <v>1.53047198755749</v>
      </c>
      <c r="T20" s="59"/>
      <c r="U20" s="59"/>
      <c r="V20" s="59"/>
      <c r="W20" s="59"/>
      <c r="X20" s="59"/>
    </row>
    <row r="21" ht="12" customHeight="1">
      <c r="A21" s="60">
        <v>500</v>
      </c>
      <c r="B21" s="65">
        <f>TRUNC((A21/((($C$5/(($B$6*60)+$C$6)))+((($E$5/(($D$6*60)+$E$6))-($C$5/(($B$6*60)+$C$6))))*((0.75^(LOG(($A21/100),2)))-(0.75^(LOG(($C$5/100),2))))/((0.75^(LOG(($E$5/100),2)))-(0.75^(LOG(($C$5/100),2))))))/60)</f>
        <v>6</v>
      </c>
      <c r="C21" s="62">
        <f>MOD((A21/((($C$5/(($B$6*60)+$C$6)))+((($E$5/(($D$6*60)+$E$6))-($C$5/(($B$6*60)+$C$6))))*((0.75^(LOG(($A21/100),2)))-(0.75^(LOG(($C$5/100),2))))/((0.75^(LOG(($E$5/100),2)))-(0.75^(LOG(($C$5/100),2)))))),60)</f>
        <v>15.469412263762</v>
      </c>
      <c r="D21" s="61">
        <f>TRUNC(A21/(A23/(B23*60+C23)-0.25*(A21/(B21*60+C21)-A23/(B23*60+C23)))/60)</f>
        <v>6</v>
      </c>
      <c r="E21" s="62">
        <f>MOD(A21/(A23/(B23*60+C23)-0.25*(A21/(B21*60+C21)-A23/(B23*60+C23))),60)</f>
        <v>36.8437815777549</v>
      </c>
      <c r="F21" s="61">
        <f>TRUNC((2*A21/((A23/((B23*60)+C23))+(A21/((H21*60)+I21))))/60)</f>
        <v>6</v>
      </c>
      <c r="G21" s="62">
        <f>MOD((2*A21/((A23/((B23*60)+C23))+(A21/((H21*60)+I21)))),60)</f>
        <v>49.1541949380667</v>
      </c>
      <c r="H21" s="61">
        <f>TRUNC((A21/(((A21/((B21*60)+C21))+(A21/((L21*60)+M21)))/2))/60)</f>
        <v>7</v>
      </c>
      <c r="I21" s="62">
        <f>MOD((A21/(((A21/((B21*60)+C21))+(A21/((L21*60)+M21)))/2)),60)</f>
        <v>7.43088343205435</v>
      </c>
      <c r="J21" s="61">
        <f>TRUNC((2*A21/((A21/(H21*60+I21))+(A21/(L21*60+M21))))/60)</f>
        <v>7</v>
      </c>
      <c r="K21" s="62">
        <f>MOD((2*A21/((A21/(H21*60+I21))+(A21/(L21*60+M21)))),60)</f>
        <v>39.2057863229036</v>
      </c>
      <c r="L21" s="63">
        <f>TRUNC((A21/((4*($A$17/(($B$17*60)+$C$17)))-(3*($A$15/(($B$15*60)+$C$15)))))/60)</f>
        <v>8</v>
      </c>
      <c r="M21" s="62">
        <f>MOD((A21/((4*($A$17/(($B$17*60)+$C$17)))-(3*($A$15/(($B$15*60)+$C$15))))),60)</f>
        <v>16.0843373493976</v>
      </c>
      <c r="N21" s="55"/>
      <c r="O21" s="45">
        <f>C21+B21*60</f>
        <v>375.469412263762</v>
      </c>
      <c r="P21" s="56">
        <f>A21</f>
        <v>500</v>
      </c>
      <c r="Q21" s="57">
        <f>P21/O21</f>
        <v>1.3316663985634</v>
      </c>
      <c r="R21" s="57">
        <f>P21/(H21*60+I21)</f>
        <v>1.16977976880204</v>
      </c>
      <c r="S21" s="64">
        <v>1.52573434844461</v>
      </c>
      <c r="T21" s="59"/>
      <c r="U21" s="59"/>
      <c r="V21" s="59"/>
      <c r="W21" s="59"/>
      <c r="X21" s="59"/>
    </row>
    <row r="22" ht="12" customHeight="1">
      <c r="A22" s="60">
        <v>600</v>
      </c>
      <c r="B22" s="65">
        <f>TRUNC((A22/((($C$5/(($B$6*60)+$C$6)))+((($E$5/(($D$6*60)+$E$6))-($C$5/(($B$6*60)+$C$6))))*((0.75^(LOG(($A22/100),2)))-(0.75^(LOG(($C$5/100),2))))/((0.75^(LOG(($E$5/100),2)))-(0.75^(LOG(($C$5/100),2))))))/60)</f>
        <v>7</v>
      </c>
      <c r="C22" s="62">
        <f>MOD((A22/((($C$5/(($B$6*60)+$C$6)))+((($E$5/(($D$6*60)+$E$6))-($C$5/(($B$6*60)+$C$6))))*((0.75^(LOG(($A22/100),2)))-(0.75^(LOG(($C$5/100),2))))/((0.75^(LOG(($E$5/100),2)))-(0.75^(LOG(($C$5/100),2)))))),60)</f>
        <v>38.690908221712</v>
      </c>
      <c r="D22" s="61">
        <f>TRUNC(A22/(A24/(B24*60+C24)-0.25*(A22/(B22*60+C22)-A24/(B24*60+C24)))/60)</f>
        <v>8</v>
      </c>
      <c r="E22" s="62">
        <f>MOD(A22/(A24/(B24*60+C24)-0.25*(A22/(B22*60+C22)-A24/(B24*60+C24))),60)</f>
        <v>0.0176655021738003</v>
      </c>
      <c r="F22" s="61">
        <f>TRUNC((2*A22/((A24/((B24*60)+C24))+(A22/((H22*60)+I22))))/60)</f>
        <v>8</v>
      </c>
      <c r="G22" s="62">
        <f>MOD((2*A22/((A24/((B24*60)+C24))+(A22/((H22*60)+I22)))),60)</f>
        <v>15.9581378938894</v>
      </c>
      <c r="H22" s="61">
        <f>TRUNC((A22/(((A22/((B22*60)+C22))+(A22/((L22*60)+M22)))/2))/60)</f>
        <v>8</v>
      </c>
      <c r="I22" s="62">
        <f>MOD((A22/(((A22/((B22*60)+C22))+(A22/((L22*60)+M22)))/2)),60)</f>
        <v>38.142872086965</v>
      </c>
      <c r="J22" s="61">
        <f>TRUNC((2*A22/((A22/(H22*60+I22))+(A22/(L22*60+M22))))/60)</f>
        <v>9</v>
      </c>
      <c r="K22" s="62">
        <f>MOD((2*A22/((A22/(H22*60+I22))+(A22/(L22*60+M22)))),60)</f>
        <v>14.0486180122077</v>
      </c>
      <c r="L22" s="63">
        <f>TRUNC((A22/((4*($A$17/(($B$17*60)+$C$17)))-(3*($A$15/(($B$15*60)+$C$15)))))/60)</f>
        <v>9</v>
      </c>
      <c r="M22" s="62">
        <f>MOD((A22/((4*($A$17/(($B$17*60)+$C$17)))-(3*($A$15/(($B$15*60)+$C$15))))),60)</f>
        <v>55.3012048192771</v>
      </c>
      <c r="N22" s="55"/>
      <c r="O22" s="45">
        <f>C22+B22*60</f>
        <v>458.690908221712</v>
      </c>
      <c r="P22" s="56">
        <f>A22</f>
        <v>600</v>
      </c>
      <c r="Q22" s="57">
        <f>P22/O22</f>
        <v>1.30807040044924</v>
      </c>
      <c r="R22" s="57">
        <f>P22/(H22*60+I22)</f>
        <v>1.15798176974496</v>
      </c>
      <c r="S22" s="64">
        <v>1.51960135965215</v>
      </c>
      <c r="T22" s="59"/>
      <c r="U22" s="59"/>
      <c r="V22" s="59"/>
      <c r="W22" s="59"/>
      <c r="X22" s="59"/>
    </row>
    <row r="23" ht="12" customHeight="1">
      <c r="A23" s="60">
        <v>800</v>
      </c>
      <c r="B23" s="65">
        <f>TRUNC((A23/((($C$5/(($B$6*60)+$C$6)))+((($E$5/(($D$6*60)+$E$6))-($C$5/(($B$6*60)+$C$6))))*((0.75^(LOG(($A23/100),2)))-(0.75^(LOG(($C$5/100),2))))/((0.75^(LOG(($E$5/100),2)))-(0.75^(LOG(($C$5/100),2))))))/60)</f>
        <v>10</v>
      </c>
      <c r="C23" s="62">
        <f>MOD((A23/((($C$5/(($B$6*60)+$C$6)))+((($E$5/(($D$6*60)+$E$6))-($C$5/(($B$6*60)+$C$6))))*((0.75^(LOG(($A23/100),2)))-(0.75^(LOG(($C$5/100),2))))/((0.75^(LOG(($E$5/100),2)))-(0.75^(LOG(($C$5/100),2)))))),60)</f>
        <v>27.8022632519357</v>
      </c>
      <c r="D23" s="61">
        <f>TRUNC(A23/(A25/(B25*60+C25)-0.25*(A23/(B23*60+C23)-A25/(B25*60+C25)))/60)</f>
        <v>10</v>
      </c>
      <c r="E23" s="62">
        <f>MOD(A23/(A25/(B25*60+C25)-0.25*(A23/(B23*60+C23)-A25/(B25*60+C25))),60)</f>
        <v>42.6568931102484</v>
      </c>
      <c r="F23" s="61">
        <f>TRUNC((2*A23/((A25/((B25*60)+C25))+(A23/((H23*60)+I23))))/60)</f>
        <v>11</v>
      </c>
      <c r="G23" s="62">
        <f>MOD((2*A23/((A25/((B25*60)+C25))+(A23/((H23*60)+I23)))),60)</f>
        <v>8.94863329106164</v>
      </c>
      <c r="H23" s="61">
        <f>TRUNC((A23/(((A23/((B23*60)+C23))+(A23/((L23*60)+M23)))/2))/60)</f>
        <v>11</v>
      </c>
      <c r="I23" s="62">
        <f>MOD((A23/(((A23/((B23*60)+C23))+(A23/((L23*60)+M23)))/2)),60)</f>
        <v>41.0841370136348</v>
      </c>
      <c r="J23" s="61">
        <f>TRUNC((2*A23/((A23/(H23*60+I23))+(A23/(L23*60+M23))))/60)</f>
        <v>12</v>
      </c>
      <c r="K23" s="62">
        <f>MOD((2*A23/((A23/(H23*60+I23))+(A23/(L23*60+M23)))),60)</f>
        <v>24.5382306198128</v>
      </c>
      <c r="L23" s="63">
        <f>TRUNC((A23/((4*($A$17/(($B$17*60)+$C$17)))-(3*($A$15/(($B$15*60)+$C$15)))))/60)</f>
        <v>13</v>
      </c>
      <c r="M23" s="62">
        <f>MOD((A23/((4*($A$17/(($B$17*60)+$C$17)))-(3*($A$15/(($B$15*60)+$C$15))))),60)</f>
        <v>13.7349397590361</v>
      </c>
      <c r="N23" s="55"/>
      <c r="O23" s="45">
        <f>C23+B23*60</f>
        <v>627.802263251936</v>
      </c>
      <c r="P23" s="56">
        <f>A23</f>
        <v>800</v>
      </c>
      <c r="Q23" s="57">
        <f>P23/O23</f>
        <v>1.27428658166363</v>
      </c>
      <c r="R23" s="57">
        <f>P23/(H23*60+I23)</f>
        <v>1.14108986035216</v>
      </c>
      <c r="S23" s="64">
        <v>1.51613063879928</v>
      </c>
      <c r="T23" s="59"/>
      <c r="U23" s="59"/>
      <c r="V23" s="59"/>
      <c r="W23" s="59"/>
      <c r="X23" s="59"/>
    </row>
    <row r="24" ht="12" customHeight="1">
      <c r="A24" s="60">
        <v>900</v>
      </c>
      <c r="B24" s="65">
        <f>TRUNC((A24/((($C$5/(($B$6*60)+$C$6)))+((($E$5/(($D$6*60)+$E$6))-($C$5/(($B$6*60)+$C$6))))*((0.75^(LOG(($A24/100),2)))-(0.75^(LOG(($C$5/100),2))))/((0.75^(LOG(($E$5/100),2)))-(0.75^(LOG(($C$5/100),2))))))/60)</f>
        <v>11</v>
      </c>
      <c r="C24" s="62">
        <f>MOD((A24/((($C$5/(($B$6*60)+$C$6)))+((($E$5/(($D$6*60)+$E$6))-($C$5/(($B$6*60)+$C$6))))*((0.75^(LOG(($A24/100),2)))-(0.75^(LOG(($C$5/100),2))))/((0.75^(LOG(($E$5/100),2)))-(0.75^(LOG(($C$5/100),2)))))),60)</f>
        <v>53.392683484481</v>
      </c>
      <c r="D24" s="61">
        <f>TRUNC(A24/(A26/(B26*60+C26)-0.25*(A24/(B24*60+C24)-A26/(B26*60+C26)))/60)</f>
        <v>12</v>
      </c>
      <c r="E24" s="62">
        <f>MOD(A24/(A26/(B26*60+C26)-0.25*(A24/(B24*60+C24)-A26/(B26*60+C26))),60)</f>
        <v>14.161513488871</v>
      </c>
      <c r="F24" s="61">
        <f>TRUNC((2*A24/((A26/((B26*60)+C26))+(A24/((H24*60)+I24))))/60)</f>
        <v>12</v>
      </c>
      <c r="G24" s="62">
        <f>MOD((2*A24/((A26/((B26*60)+C26))+(A24/((H24*60)+I24)))),60)</f>
        <v>40.2117682776821</v>
      </c>
      <c r="H24" s="61">
        <f>TRUNC((A24/(((A24/((B24*60)+C24))+(A24/((L24*60)+M24)))/2))/60)</f>
        <v>13</v>
      </c>
      <c r="I24" s="62">
        <f>MOD((A24/(((A24/((B24*60)+C24))+(A24/((L24*60)+M24)))/2)),60)</f>
        <v>13.136577694418</v>
      </c>
      <c r="J24" s="61">
        <f>TRUNC((2*A24/((A24/(H24*60+I24))+(A24/(L24*60+M24))))/60)</f>
        <v>14</v>
      </c>
      <c r="K24" s="62">
        <f>MOD((2*A24/((A24/(H24*60+I24))+(A24/(L24*60+M24)))),60)</f>
        <v>0.0896972714643855</v>
      </c>
      <c r="L24" s="63">
        <f>TRUNC((A24/((4*($A$17/(($B$17*60)+$C$17)))-(3*($A$15/(($B$15*60)+$C$15)))))/60)</f>
        <v>14</v>
      </c>
      <c r="M24" s="62">
        <f>MOD((A24/((4*($A$17/(($B$17*60)+$C$17)))-(3*($A$15/(($B$15*60)+$C$15))))),60)</f>
        <v>52.9518072289157</v>
      </c>
      <c r="N24" s="55"/>
      <c r="O24" s="45">
        <f>C24+B24*60</f>
        <v>713.392683484481</v>
      </c>
      <c r="P24" s="56">
        <f>A24</f>
        <v>900</v>
      </c>
      <c r="Q24" s="57">
        <f>P24/O24</f>
        <v>1.26157727831474</v>
      </c>
      <c r="R24" s="57">
        <f>P24/(H24*60+I24)</f>
        <v>1.13473520867771</v>
      </c>
      <c r="S24" s="64">
        <v>1.51360749613536</v>
      </c>
      <c r="T24" s="59"/>
      <c r="U24" s="59"/>
      <c r="V24" s="59"/>
      <c r="W24" s="59"/>
      <c r="X24" s="59"/>
    </row>
    <row r="25" ht="12" customHeight="1">
      <c r="A25" s="60">
        <v>1000</v>
      </c>
      <c r="B25" s="65">
        <f>TRUNC((A25/((($C$5/(($B$6*60)+$C$6)))+((($E$5/(($D$6*60)+$E$6))-($C$5/(($B$6*60)+$C$6))))*((0.75^(LOG(($A25/100),2)))-(0.75^(LOG(($C$5/100),2))))/((0.75^(LOG(($E$5/100),2)))-(0.75^(LOG(($C$5/100),2))))))/60)</f>
        <v>13</v>
      </c>
      <c r="C25" s="62">
        <f>MOD((A25/((($C$5/(($B$6*60)+$C$6)))+((($E$5/(($D$6*60)+$E$6))-($C$5/(($B$6*60)+$C$6))))*((0.75^(LOG(($A25/100),2)))-(0.75^(LOG(($C$5/100),2))))/((0.75^(LOG(($E$5/100),2)))-(0.75^(LOG(($C$5/100),2)))))),60)</f>
        <v>19.5374939875003</v>
      </c>
      <c r="D25" s="61">
        <f>TRUNC(A25/(A27/(B27*60+C27)-0.25*(A25/(B25*60+C25)-A27/(B27*60+C27)))/60)</f>
        <v>13</v>
      </c>
      <c r="E25" s="62">
        <f>MOD(A25/(A27/(B27*60+C27)-0.25*(A25/(B25*60+C25)-A27/(B27*60+C27))),60)</f>
        <v>50.7652166205942</v>
      </c>
      <c r="F25" s="61">
        <f>TRUNC((2*A25/((A27/((B27*60)+C27))+(A25/((H25*60)+I25))))/60)</f>
        <v>14</v>
      </c>
      <c r="G25" s="62">
        <f>MOD((2*A25/((A27/((B27*60)+C27))+(A25/((H25*60)+I25)))),60)</f>
        <v>13.8177211219972</v>
      </c>
      <c r="H25" s="61">
        <f>TRUNC((A25/(((A25/((B25*60)+C25))+(A25/((L25*60)+M25)))/2))/60)</f>
        <v>14</v>
      </c>
      <c r="I25" s="62">
        <f>MOD((A25/(((A25/((B25*60)+C25))+(A25/((L25*60)+M25)))/2)),60)</f>
        <v>45.4979344779679</v>
      </c>
      <c r="J25" s="61">
        <f>TRUNC((2*A25/((A25/(H25*60+I25))+(A25/(L25*60+M25))))/60)</f>
        <v>15</v>
      </c>
      <c r="K25" s="62">
        <f>MOD((2*A25/((A25/(H25*60+I25))+(A25/(L25*60+M25)))),60)</f>
        <v>35.8033080054823</v>
      </c>
      <c r="L25" s="63">
        <f>TRUNC((A25/((4*($A$17/(($B$17*60)+$C$17)))-(3*($A$15/(($B$15*60)+$C$15)))))/60)</f>
        <v>16</v>
      </c>
      <c r="M25" s="62">
        <f>MOD((A25/((4*($A$17/(($B$17*60)+$C$17)))-(3*($A$15/(($B$15*60)+$C$15))))),60)</f>
        <v>32.1686746987952</v>
      </c>
      <c r="N25" s="55"/>
      <c r="O25" s="45">
        <f>C25+B25*60</f>
        <v>799.5374939875001</v>
      </c>
      <c r="P25" s="56">
        <f>A25</f>
        <v>1000</v>
      </c>
      <c r="Q25" s="57">
        <f>P25/O25</f>
        <v>1.25072308368272</v>
      </c>
      <c r="R25" s="57">
        <f>P25/(H25*60+I25)</f>
        <v>1.1293081113617</v>
      </c>
      <c r="S25" s="64">
        <v>1.51058987852282</v>
      </c>
      <c r="T25" s="59"/>
      <c r="U25" s="59"/>
      <c r="V25" s="59"/>
      <c r="W25" s="59"/>
      <c r="X25" s="59"/>
    </row>
    <row r="26" ht="12" customHeight="1">
      <c r="A26" s="66">
        <v>1200</v>
      </c>
      <c r="B26" s="65">
        <f>TRUNC((A26/((($C$5/(($B$6*60)+$C$6)))+((($E$5/(($D$6*60)+$E$6))-($C$5/(($B$6*60)+$C$6))))*((0.75^(LOG(($A26/100),2)))-(0.75^(LOG(($C$5/100),2))))/((0.75^(LOG(($E$5/100),2)))-(0.75^(LOG(($C$5/100),2))))))/60)</f>
        <v>16</v>
      </c>
      <c r="C26" s="62">
        <f>MOD((A26/((($C$5/(($B$6*60)+$C$6)))+((($E$5/(($D$6*60)+$E$6))-($C$5/(($B$6*60)+$C$6))))*((0.75^(LOG(($A26/100),2)))-(0.75^(LOG(($C$5/100),2))))/((0.75^(LOG(($E$5/100),2)))-(0.75^(LOG(($C$5/100),2)))))),60)</f>
        <v>13.2154205849598</v>
      </c>
      <c r="D26" s="61">
        <f>TRUNC(A26/(A28/(B28*60+C28)-0.25*(A26/(B26*60+C26)-A28/(B28*60+C28)))/60)</f>
        <v>16</v>
      </c>
      <c r="E26" s="62">
        <f>MOD(A26/(A28/(B28*60+C28)-0.25*(A26/(B26*60+C26)-A28/(B28*60+C28))),60)</f>
        <v>38.8731420866056</v>
      </c>
      <c r="F26" s="61">
        <f>TRUNC((2*A26/((A28/((B28*60)+C28))+(A26/((H26*60)+I26))))/60)</f>
        <v>17</v>
      </c>
      <c r="G26" s="62">
        <f>MOD((2*A26/((A28/((B28*60)+C28))+(A26/((H26*60)+I26)))),60)</f>
        <v>10.8623730428065</v>
      </c>
      <c r="H26" s="61">
        <f>TRUNC((A26/(((A26/((B26*60)+C26))+(A26/((L26*60)+M26)))/2))/60)</f>
        <v>17</v>
      </c>
      <c r="I26" s="62">
        <f>MOD((A26/(((A26/((B26*60)+C26))+(A26/((L26*60)+M26)))/2)),60)</f>
        <v>50.9890718722487</v>
      </c>
      <c r="J26" s="61">
        <f>TRUNC((2*A26/((A26/(H26*60+I26))+(A26/(L26*60+M26))))/60)</f>
        <v>18</v>
      </c>
      <c r="K26" s="62">
        <f>MOD((2*A26/((A26/(H26*60+I26))+(A26/(L26*60+M26)))),60)</f>
        <v>47.6326251599097</v>
      </c>
      <c r="L26" s="63">
        <f>TRUNC((A26/((4*($A$17/(($B$17*60)+$C$17)))-(3*($A$15/(($B$15*60)+$C$15)))))/60)</f>
        <v>19</v>
      </c>
      <c r="M26" s="62">
        <f>MOD((A26/((4*($A$17/(($B$17*60)+$C$17)))-(3*($A$15/(($B$15*60)+$C$15))))),60)</f>
        <v>50.6024096385542</v>
      </c>
      <c r="N26" s="55"/>
      <c r="O26" s="45">
        <f>C26+B26*60</f>
        <v>973.215420584960</v>
      </c>
      <c r="P26" s="56">
        <f>A26</f>
        <v>1200</v>
      </c>
      <c r="Q26" s="57">
        <f>P26/O26</f>
        <v>1.2330260850971</v>
      </c>
      <c r="R26" s="57">
        <f>P26/(H26*60+I26)</f>
        <v>1.12045961206889</v>
      </c>
      <c r="S26" s="64">
        <v>1.5068509279378</v>
      </c>
      <c r="T26" s="59"/>
      <c r="U26" s="59"/>
      <c r="V26" s="59"/>
      <c r="W26" s="59"/>
      <c r="X26" s="59"/>
    </row>
    <row r="27" ht="12" customHeight="1">
      <c r="A27" s="60">
        <v>1500</v>
      </c>
      <c r="B27" s="65">
        <f>TRUNC((A27/((($C$5/(($B$6*60)+$C$6)))+((($E$5/(($D$6*60)+$E$6))-($C$5/(($B$6*60)+$C$6))))*((0.75^(LOG(($A27/100),2)))-(0.75^(LOG(($C$5/100),2))))/((0.75^(LOG(($E$5/100),2)))-(0.75^(LOG(($C$5/100),2))))))/60)</f>
        <v>20</v>
      </c>
      <c r="C27" s="62">
        <f>MOD((A27/((($C$5/(($B$6*60)+$C$6)))+((($E$5/(($D$6*60)+$E$6))-($C$5/(($B$6*60)+$C$6))))*((0.75^(LOG(($A27/100),2)))-(0.75^(LOG(($C$5/100),2))))/((0.75^(LOG(($E$5/100),2)))-(0.75^(LOG(($C$5/100),2)))))),60)</f>
        <v>36.4890565585677</v>
      </c>
      <c r="D27" s="61">
        <f>TRUNC(A27/(A29/(B29*60+C29)-0.25*(A27/(B27*60+C27)-A29/(B29*60+C29)))/60)</f>
        <v>21</v>
      </c>
      <c r="E27" s="62">
        <f>MOD(A27/(A29/(B29*60+C29)-0.25*(A27/(B27*60+C27)-A29/(B29*60+C29))),60)</f>
        <v>6.63360267401526</v>
      </c>
      <c r="F27" s="61">
        <f>TRUNC((2*A27/((A29/((B29*60)+C29))+(A27/((H27*60)+I27))))/60)</f>
        <v>21</v>
      </c>
      <c r="G27" s="62">
        <f>MOD((2*A27/((A29/((B29*60)+C29))+(A27/((H27*60)+I27)))),60)</f>
        <v>44.0539698012754</v>
      </c>
      <c r="H27" s="61">
        <f>TRUNC((A27/(((A27/((B27*60)+C27))+(A27/((L27*60)+M27)))/2))/60)</f>
        <v>22</v>
      </c>
      <c r="I27" s="62">
        <f>MOD((A27/(((A27/((B27*60)+C27))+(A27/((L27*60)+M27)))/2)),60)</f>
        <v>30.7396417370753</v>
      </c>
      <c r="J27" s="61">
        <f>TRUNC((2*A27/((A27/(H27*60+I27))+(A27/(L27*60+M27))))/60)</f>
        <v>23</v>
      </c>
      <c r="K27" s="62">
        <f>MOD((2*A27/((A27/(H27*60+I27))+(A27/(L27*60+M27)))),60)</f>
        <v>36.1659331015283</v>
      </c>
      <c r="L27" s="63">
        <f>TRUNC((A27/((4*($A$17/(($B$17*60)+$C$17)))-(3*($A$15/(($B$15*60)+$C$15)))))/60)</f>
        <v>24</v>
      </c>
      <c r="M27" s="62">
        <f>MOD((A27/((4*($A$17/(($B$17*60)+$C$17)))-(3*($A$15/(($B$15*60)+$C$15))))),60)</f>
        <v>48.2530120481928</v>
      </c>
      <c r="N27" s="55"/>
      <c r="O27" s="45">
        <f>C27+B27*60</f>
        <v>1236.489056558570</v>
      </c>
      <c r="P27" s="56">
        <f>A27</f>
        <v>1500</v>
      </c>
      <c r="Q27" s="57">
        <f>P27/O27</f>
        <v>1.21311223261032</v>
      </c>
      <c r="R27" s="57">
        <f>P27/(H27*60+I27)</f>
        <v>1.1105026858255</v>
      </c>
      <c r="S27" s="64">
        <v>1.5046692854062</v>
      </c>
      <c r="T27" s="59"/>
      <c r="U27" s="59"/>
      <c r="V27" s="59"/>
      <c r="W27" s="59"/>
      <c r="X27" s="59"/>
    </row>
    <row r="28" ht="12" customHeight="1">
      <c r="A28" s="60">
        <v>1600</v>
      </c>
      <c r="B28" s="65">
        <f>TRUNC((A28/((($C$5/(($B$6*60)+$C$6)))+((($E$5/(($D$6*60)+$E$6))-($C$5/(($B$6*60)+$C$6))))*((0.75^(LOG(($A28/100),2)))-(0.75^(LOG(($C$5/100),2))))/((0.75^(LOG(($E$5/100),2)))-(0.75^(LOG(($C$5/100),2))))))/60)</f>
        <v>22</v>
      </c>
      <c r="C28" s="62">
        <f>MOD((A28/((($C$5/(($B$6*60)+$C$6)))+((($E$5/(($D$6*60)+$E$6))-($C$5/(($B$6*60)+$C$6))))*((0.75^(LOG(($A28/100),2)))-(0.75^(LOG(($C$5/100),2))))/((0.75^(LOG(($E$5/100),2)))-(0.75^(LOG(($C$5/100),2)))))),60)</f>
        <v>4.84524744697565</v>
      </c>
      <c r="D28" s="61">
        <f>TRUNC(A28/(A30/(B30*60+C30)-0.25*(A28/(B28*60+C28)-A30/(B30*60+C30)))/60)</f>
        <v>22</v>
      </c>
      <c r="E28" s="62">
        <f>MOD(A28/(A30/(B30*60+C30)-0.25*(A28/(B28*60+C28)-A30/(B30*60+C30))),60)</f>
        <v>48.6835723360264</v>
      </c>
      <c r="F28" s="61">
        <f>TRUNC((2*A28/((A30/((B30*60)+C30))+(A28/((H28*60)+I28))))/60)</f>
        <v>23</v>
      </c>
      <c r="G28" s="62">
        <f>MOD((2*A28/((A30/((B30*60)+C30))+(A28/((H28*60)+I28)))),60)</f>
        <v>20.7235875197744</v>
      </c>
      <c r="H28" s="61">
        <f>TRUNC((A28/(((A28/((B28*60)+C28))+(A28/((L28*60)+M28)))/2))/60)</f>
        <v>24</v>
      </c>
      <c r="I28" s="62">
        <f>MOD((A28/(((A28/((B28*60)+C28))+(A28/((L28*60)+M28)))/2)),60)</f>
        <v>4.31617710028261</v>
      </c>
      <c r="J28" s="61">
        <f>TRUNC((2*A28/((A28/(H28*60+I28))+(A28/(L28*60+M28))))/60)</f>
        <v>25</v>
      </c>
      <c r="K28" s="62">
        <f>MOD((2*A28/((A28/(H28*60+I28))+(A28/(L28*60+M28)))),60)</f>
        <v>12.5133402089592</v>
      </c>
      <c r="L28" s="63">
        <f>TRUNC((A28/((4*($A$17/(($B$17*60)+$C$17)))-(3*($A$15/(($B$15*60)+$C$15)))))/60)</f>
        <v>26</v>
      </c>
      <c r="M28" s="62">
        <f>MOD((A28/((4*($A$17/(($B$17*60)+$C$17)))-(3*($A$15/(($B$15*60)+$C$15))))),60)</f>
        <v>27.4698795180723</v>
      </c>
      <c r="N28" s="55"/>
      <c r="O28" s="45">
        <f>C28+B28*60</f>
        <v>1324.845247446980</v>
      </c>
      <c r="P28" s="56">
        <f>A28</f>
        <v>1600</v>
      </c>
      <c r="Q28" s="57">
        <f>P28/O28</f>
        <v>1.20768822100789</v>
      </c>
      <c r="R28" s="57">
        <f>P28/(H28*60+I28)</f>
        <v>1.10779068002429</v>
      </c>
      <c r="S28" s="64">
        <v>1.50161579471035</v>
      </c>
      <c r="T28" s="59"/>
      <c r="U28" s="59"/>
      <c r="V28" s="59"/>
      <c r="W28" s="59"/>
      <c r="X28" s="59"/>
    </row>
    <row r="29" ht="12" customHeight="1">
      <c r="A29" s="60">
        <v>2000</v>
      </c>
      <c r="B29" s="65">
        <f>TRUNC((A29/((($C$5/(($B$6*60)+$C$6)))+((($E$5/(($D$6*60)+$E$6))-($C$5/(($B$6*60)+$C$6))))*((0.75^(LOG(($A29/100),2)))-(0.75^(LOG(($C$5/100),2))))/((0.75^(LOG(($E$5/100),2)))-(0.75^(LOG(($C$5/100),2))))))/60)</f>
        <v>28</v>
      </c>
      <c r="C29" s="62">
        <f>MOD((A29/((($C$5/(($B$6*60)+$C$6)))+((($E$5/(($D$6*60)+$E$6))-($C$5/(($B$6*60)+$C$6))))*((0.75^(LOG(($A29/100),2)))-(0.75^(LOG(($C$5/100),2))))/((0.75^(LOG(($E$5/100),2)))-(0.75^(LOG(($C$5/100),2)))))),60)</f>
        <v>0.650240353403169</v>
      </c>
      <c r="D29" s="61">
        <f>TRUNC(A29/(A31/(B31*60+C31)-0.25*(A29/(B29*60+C29)-A31/(B31*60+C31)))/60)</f>
        <v>28</v>
      </c>
      <c r="E29" s="62">
        <f>MOD(A29/(A31/(B31*60+C31)-0.25*(A29/(B29*60+C29)-A31/(B31*60+C31))),60)</f>
        <v>29.5787598698135</v>
      </c>
      <c r="F29" s="61">
        <f>TRUNC((2*A29/((A31/((B31*60)+C31))+(A29/((H29*60)+I29))))/60)</f>
        <v>29</v>
      </c>
      <c r="G29" s="62">
        <f>MOD((2*A29/((A31/((B31*60)+C31))+(A29/((H29*60)+I29)))),60)</f>
        <v>19.8967945279898</v>
      </c>
      <c r="H29" s="61">
        <f>TRUNC((A29/(((A29/((B29*60)+C29))+(A29/((L29*60)+M29)))/2))/60)</f>
        <v>30</v>
      </c>
      <c r="I29" s="62">
        <f>MOD((A29/(((A29/((B29*60)+C29))+(A29/((L29*60)+M29)))/2)),60)</f>
        <v>19.9117795287706</v>
      </c>
      <c r="J29" s="61">
        <f>TRUNC((2*A29/((A29/(H29*60+I29))+(A29/(L29*60+M29))))/60)</f>
        <v>31</v>
      </c>
      <c r="K29" s="62">
        <f>MOD((2*A29/((A29/(H29*60+I29))+(A29/(L29*60+M29)))),60)</f>
        <v>38.5711999081209</v>
      </c>
      <c r="L29" s="63">
        <f>TRUNC((A29/((4*($A$17/(($B$17*60)+$C$17)))-(3*($A$15/(($B$15*60)+$C$15)))))/60)</f>
        <v>33</v>
      </c>
      <c r="M29" s="62">
        <f>MOD((A29/((4*($A$17/(($B$17*60)+$C$17)))-(3*($A$15/(($B$15*60)+$C$15))))),60)</f>
        <v>4.33734939759036</v>
      </c>
      <c r="N29" s="55"/>
      <c r="O29" s="45">
        <f>C29+B29*60</f>
        <v>1680.6502403534</v>
      </c>
      <c r="P29" s="56">
        <f>A29</f>
        <v>2000</v>
      </c>
      <c r="Q29" s="57">
        <f>P29/O29</f>
        <v>1.19001559752221</v>
      </c>
      <c r="R29" s="57">
        <f>P29/(H29*60+I29)</f>
        <v>1.09895436828144</v>
      </c>
      <c r="S29" s="64">
        <v>1.49860881103018</v>
      </c>
      <c r="T29" s="59"/>
      <c r="U29" s="59"/>
      <c r="V29" s="59"/>
      <c r="W29" s="59"/>
      <c r="X29" s="59"/>
    </row>
    <row r="30" ht="12" customHeight="1">
      <c r="A30" s="60">
        <v>2400</v>
      </c>
      <c r="B30" s="65">
        <f>TRUNC((A30/((($C$5/(($B$6*60)+$C$6)))+((($E$5/(($D$6*60)+$E$6))-($C$5/(($B$6*60)+$C$6))))*((0.75^(LOG(($A30/100),2)))-(0.75^(LOG(($C$5/100),2))))/((0.75^(LOG(($E$5/100),2)))-(0.75^(LOG(($C$5/100),2))))))/60)</f>
        <v>33</v>
      </c>
      <c r="C30" s="62">
        <f>MOD((A30/((($C$5/(($B$6*60)+$C$6)))+((($E$5/(($D$6*60)+$E$6))-($C$5/(($B$6*60)+$C$6))))*((0.75^(LOG(($A30/100),2)))-(0.75^(LOG(($C$5/100),2))))/((0.75^(LOG(($E$5/100),2)))-(0.75^(LOG(($C$5/100),2)))))),60)</f>
        <v>59.5280097856744</v>
      </c>
      <c r="D30" s="61">
        <f>TRUNC(A30/(A32/(B32*60+C32)-0.25*(A30/(B30*60+C30)-A32/(B32*60+C32)))/60)</f>
        <v>34</v>
      </c>
      <c r="E30" s="62">
        <f>MOD(A30/(A32/(B32*60+C32)-0.25*(A30/(B30*60+C30)-A32/(B32*60+C32))),60)</f>
        <v>32.4071210903668</v>
      </c>
      <c r="F30" s="61">
        <f>TRUNC((2*A30/((A32/((B32*60)+C32))+(A30/((H30*60)+I30))))/60)</f>
        <v>35</v>
      </c>
      <c r="G30" s="62">
        <f>MOD((2*A30/((A32/((B32*60)+C32))+(A30/((H30*60)+I30)))),60)</f>
        <v>29.4289515023925</v>
      </c>
      <c r="H30" s="61">
        <f>TRUNC((A30/(((A30/((B30*60)+C30))+(A30/((L30*60)+M30)))/2))/60)</f>
        <v>36</v>
      </c>
      <c r="I30" s="62">
        <f>MOD((A30/(((A30/((B30*60)+C30))+(A30/((L30*60)+M30)))/2)),60)</f>
        <v>37.1623772531427</v>
      </c>
      <c r="J30" s="61">
        <f>TRUNC((2*A30/((A30/(H30*60+I30))+(A30/(L30*60+M30))))/60)</f>
        <v>38</v>
      </c>
      <c r="K30" s="62">
        <f>MOD((2*A30/((A30/(H30*60+I30))+(A30/(L30*60+M30)))),60)</f>
        <v>5.48450435105345</v>
      </c>
      <c r="L30" s="63">
        <f>TRUNC((A30/((4*($A$17/(($B$17*60)+$C$17)))-(3*($A$15/(($B$15*60)+$C$15)))))/60)</f>
        <v>39</v>
      </c>
      <c r="M30" s="62">
        <f>MOD((A30/((4*($A$17/(($B$17*60)+$C$17)))-(3*($A$15/(($B$15*60)+$C$15))))),60)</f>
        <v>41.2048192771084</v>
      </c>
      <c r="N30" s="55"/>
      <c r="O30" s="45">
        <f>C30+B30*60</f>
        <v>2039.528009785670</v>
      </c>
      <c r="P30" s="56">
        <f>A30</f>
        <v>2400</v>
      </c>
      <c r="Q30" s="57">
        <f>P30/O30</f>
        <v>1.176742848583</v>
      </c>
      <c r="R30" s="57">
        <f>P30/(H30*60+I30)</f>
        <v>1.09231799381184</v>
      </c>
      <c r="S30" s="64">
        <v>1.49692905231149</v>
      </c>
      <c r="T30" s="59"/>
      <c r="U30" s="59"/>
      <c r="V30" s="59"/>
      <c r="W30" s="59"/>
      <c r="X30" s="59"/>
    </row>
    <row r="31" ht="12" customHeight="1">
      <c r="A31" s="60">
        <v>2500</v>
      </c>
      <c r="B31" s="65">
        <f>TRUNC((A31/((($C$5/(($B$6*60)+$C$6)))+((($E$5/(($D$6*60)+$E$6))-($C$5/(($B$6*60)+$C$6))))*((0.75^(LOG(($A31/100),2)))-(0.75^(LOG(($C$5/100),2))))/((0.75^(LOG(($E$5/100),2)))-(0.75^(LOG(($C$5/100),2))))))/60)</f>
        <v>35</v>
      </c>
      <c r="C31" s="62">
        <f>MOD((A31/((($C$5/(($B$6*60)+$C$6)))+((($E$5/(($D$6*60)+$E$6))-($C$5/(($B$6*60)+$C$6))))*((0.75^(LOG(($A31/100),2)))-(0.75^(LOG(($C$5/100),2))))/((0.75^(LOG(($E$5/100),2)))-(0.75^(LOG(($C$5/100),2)))))),60)</f>
        <v>29.6420740610092</v>
      </c>
      <c r="D31" s="61">
        <f>TRUNC(A31/(A33/(B33*60+C33)-0.25*(A31/(B31*60+C31)-A33/(B33*60+C33)))/60)</f>
        <v>36</v>
      </c>
      <c r="E31" s="62">
        <f>MOD(A31/(A33/(B33*60+C33)-0.25*(A31/(B31*60+C31)-A33/(B33*60+C33))),60)</f>
        <v>6.94533965574692</v>
      </c>
      <c r="F31" s="61">
        <f>TRUNC((2*A31/((A33/((B33*60)+C33))+(A31/((H31*60)+I31))))/60)</f>
        <v>37</v>
      </c>
      <c r="G31" s="62">
        <f>MOD((2*A31/((A33/((B33*60)+C33))+(A31/((H31*60)+I31)))),60)</f>
        <v>3.56712265184994</v>
      </c>
      <c r="H31" s="61">
        <f>TRUNC((A31/(((A31/((B31*60)+C31))+(A31/((L31*60)+M31)))/2))/60)</f>
        <v>38</v>
      </c>
      <c r="I31" s="62">
        <f>MOD((A31/(((A31/((B31*60)+C31))+(A31/((L31*60)+M31)))/2)),60)</f>
        <v>11.686475322816</v>
      </c>
      <c r="J31" s="61">
        <f>TRUNC((2*A31/((A31/(H31*60+I31))+(A31/(L31*60+M31))))/60)</f>
        <v>39</v>
      </c>
      <c r="K31" s="62">
        <f>MOD((2*A31/((A31/(H31*60+I31))+(A31/(L31*60+M31)))),60)</f>
        <v>42.321875181475</v>
      </c>
      <c r="L31" s="63">
        <f>TRUNC((A31/((4*($A$17/(($B$17*60)+$C$17)))-(3*($A$15/(($B$15*60)+$C$15)))))/60)</f>
        <v>41</v>
      </c>
      <c r="M31" s="62">
        <f>MOD((A31/((4*($A$17/(($B$17*60)+$C$17)))-(3*($A$15/(($B$15*60)+$C$15))))),60)</f>
        <v>20.421686746988</v>
      </c>
      <c r="N31" s="55"/>
      <c r="O31" s="45">
        <f>C31+B31*60</f>
        <v>2129.642074061010</v>
      </c>
      <c r="P31" s="56">
        <f>A31</f>
        <v>2500</v>
      </c>
      <c r="Q31" s="57">
        <f>P31/O31</f>
        <v>1.1739061837902</v>
      </c>
      <c r="R31" s="57">
        <f>P31/(H31*60+I31)</f>
        <v>1.09089966141544</v>
      </c>
      <c r="S31" s="64">
        <v>1.4948055366757</v>
      </c>
      <c r="T31" s="59"/>
      <c r="U31" s="59"/>
      <c r="V31" s="59"/>
      <c r="W31" s="59"/>
      <c r="X31" s="59"/>
    </row>
    <row r="32" ht="12" customHeight="1">
      <c r="A32" s="60">
        <v>3000</v>
      </c>
      <c r="B32" s="65">
        <f>TRUNC((A32/((($C$5/(($B$6*60)+$C$6)))+((($E$5/(($D$6*60)+$E$6))-($C$5/(($B$6*60)+$C$6))))*((0.75^(LOG(($A32/100),2)))-(0.75^(LOG(($C$5/100),2))))/((0.75^(LOG(($E$5/100),2)))-(0.75^(LOG(($C$5/100),2))))))/60)</f>
        <v>43</v>
      </c>
      <c r="C32" s="62">
        <f>MOD((A32/((($C$5/(($B$6*60)+$C$6)))+((($E$5/(($D$6*60)+$E$6))-($C$5/(($B$6*60)+$C$6))))*((0.75^(LOG(($A32/100),2)))-(0.75^(LOG(($C$5/100),2))))/((0.75^(LOG(($E$5/100),2)))-(0.75^(LOG(($C$5/100),2)))))),60)</f>
        <v>2.1834557849094</v>
      </c>
      <c r="D32" s="61">
        <f>TRUNC(A32/(A34/(B34*60+C34)-0.25*(A32/(B32*60+C32)-A34/(B34*60+C34)))/60)</f>
        <v>43</v>
      </c>
      <c r="E32" s="62">
        <f>MOD(A32/(A34/(B34*60+C34)-0.25*(A32/(B32*60+C32)-A34/(B34*60+C34))),60)</f>
        <v>51.2226617642793</v>
      </c>
      <c r="F32" s="61">
        <f>TRUNC((2*A32/((A34/((B34*60)+C34))+(A32/((H32*60)+I32))))/60)</f>
        <v>44</v>
      </c>
      <c r="G32" s="62">
        <f>MOD((2*A32/((A34/((B34*60)+C34))+(A32/((H32*60)+I32)))),60)</f>
        <v>51.3852072235011</v>
      </c>
      <c r="H32" s="61">
        <f>TRUNC((A32/(((A32/((B32*60)+C32))+(A32/((L32*60)+M32)))/2))/60)</f>
        <v>46</v>
      </c>
      <c r="I32" s="62">
        <f>MOD((A32/(((A32/((B32*60)+C32))+(A32/((L32*60)+M32)))/2)),60)</f>
        <v>5.3585037565137</v>
      </c>
      <c r="J32" s="61">
        <f>TRUNC((2*A32/((A32/(H32*60+I32))+(A32/(L32*60+M32))))/60)</f>
        <v>47</v>
      </c>
      <c r="K32" s="62">
        <f>MOD((2*A32/((A32/(H32*60+I32))+(A32/(L32*60+M32)))),60)</f>
        <v>47.0499644460796</v>
      </c>
      <c r="L32" s="63">
        <f>TRUNC((A32/((4*($A$17/(($B$17*60)+$C$17)))-(3*($A$15/(($B$15*60)+$C$15)))))/60)</f>
        <v>49</v>
      </c>
      <c r="M32" s="62">
        <f>MOD((A32/((4*($A$17/(($B$17*60)+$C$17)))-(3*($A$15/(($B$15*60)+$C$15))))),60)</f>
        <v>36.5060240963855</v>
      </c>
      <c r="N32" s="55"/>
      <c r="O32" s="45">
        <f>C32+B32*60</f>
        <v>2582.183455784910</v>
      </c>
      <c r="P32" s="56">
        <f>A32</f>
        <v>3000</v>
      </c>
      <c r="Q32" s="57">
        <f>P32/O32</f>
        <v>1.16180745921791</v>
      </c>
      <c r="R32" s="57">
        <f>P32/(H32*60+I32)</f>
        <v>1.0848502991293</v>
      </c>
      <c r="S32" s="64">
        <v>1.49331386354349</v>
      </c>
      <c r="T32" s="59"/>
      <c r="U32" s="59"/>
      <c r="V32" s="59"/>
      <c r="W32" s="59"/>
      <c r="X32" s="59"/>
    </row>
    <row r="33" ht="12" customHeight="1">
      <c r="A33" s="60">
        <v>3200</v>
      </c>
      <c r="B33" s="65">
        <f>TRUNC((A33/((($C$5/(($B$6*60)+$C$6)))+((($E$5/(($D$6*60)+$E$6))-($C$5/(($B$6*60)+$C$6))))*((0.75^(LOG(($A33/100),2)))-(0.75^(LOG(($C$5/100),2))))/((0.75^(LOG(($E$5/100),2)))-(0.75^(LOG(($C$5/100),2))))))/60)</f>
        <v>46</v>
      </c>
      <c r="C33" s="62">
        <f>MOD((A33/((($C$5/(($B$6*60)+$C$6)))+((($E$5/(($D$6*60)+$E$6))-($C$5/(($B$6*60)+$C$6))))*((0.75^(LOG(($A33/100),2)))-(0.75^(LOG(($C$5/100),2))))/((0.75^(LOG(($E$5/100),2)))-(0.75^(LOG(($C$5/100),2)))))),60)</f>
        <v>4.00704715860204</v>
      </c>
      <c r="D33" s="67"/>
      <c r="E33" s="62"/>
      <c r="F33" s="68"/>
      <c r="G33" s="69"/>
      <c r="H33" s="61">
        <f>TRUNC((A33/(((A33/((B33*60)+C33))+(A33/((L33*60)+M33)))/2))/60)</f>
        <v>49</v>
      </c>
      <c r="I33" s="62">
        <f>MOD((A33/(((A33/((B33*60)+C33))+(A33/((L33*60)+M33)))/2)),60)</f>
        <v>15.2565984010514</v>
      </c>
      <c r="J33" s="61">
        <f>TRUNC((2*A33/((A33/(H33*60+I33))+(A33/(L33*60+M33))))/60)</f>
        <v>51</v>
      </c>
      <c r="K33" s="62">
        <f>MOD((2*A33/((A33/(H33*60+I33))+(A33/(L33*60+M33)))),60)</f>
        <v>1.16186997311434</v>
      </c>
      <c r="L33" s="63">
        <f>TRUNC((A33/((4*($A$17/(($B$17*60)+$C$17)))-(3*($A$15/(($B$15*60)+$C$15)))))/60)</f>
        <v>52</v>
      </c>
      <c r="M33" s="62">
        <f>MOD((A33/((4*($A$17/(($B$17*60)+$C$17)))-(3*($A$15/(($B$15*60)+$C$15))))),60)</f>
        <v>54.9397590361446</v>
      </c>
      <c r="N33" s="55"/>
      <c r="O33" s="45">
        <f>C33+B33*60</f>
        <v>2764.0070471586</v>
      </c>
      <c r="P33" s="56">
        <f>A33</f>
        <v>3200</v>
      </c>
      <c r="Q33" s="57">
        <f>P33/O33</f>
        <v>1.15773945051609</v>
      </c>
      <c r="R33" s="57">
        <f>P33/(H33*60+I33)</f>
        <v>1.08281629477838</v>
      </c>
      <c r="S33" s="64"/>
      <c r="T33" s="59"/>
      <c r="U33" s="59"/>
      <c r="V33" s="59"/>
      <c r="W33" s="59"/>
      <c r="X33" s="59"/>
    </row>
    <row r="34" ht="12" customHeight="1">
      <c r="A34" s="70">
        <v>4000</v>
      </c>
      <c r="B34" s="24">
        <f>TRUNC((A34/((($C$5/(($B$6*60)+$C$6)))+((($E$5/(($D$6*60)+$E$6))-($C$5/(($B$6*60)+$C$6))))*((0.75^(LOG(($A34/100),2)))-(0.75^(LOG(($C$5/100),2))))/((0.75^(LOG(($E$5/100),2)))-(0.75^(LOG(($C$5/100),2))))))/60)</f>
        <v>58</v>
      </c>
      <c r="C34" s="25">
        <f>MOD((A34/((($C$5/(($B$6*60)+$C$6)))+((($E$5/(($D$6*60)+$E$6))-($C$5/(($B$6*60)+$C$6))))*((0.75^(LOG(($A34/100),2)))-(0.75^(LOG(($C$5/100),2))))/((0.75^(LOG(($E$5/100),2)))-(0.75^(LOG(($C$5/100),2)))))),60)</f>
        <v>15.0218305687603</v>
      </c>
      <c r="D34" s="71"/>
      <c r="E34" s="25"/>
      <c r="F34" s="72"/>
      <c r="G34" s="12"/>
      <c r="H34" s="73">
        <f>TRUNC((A34/(((A34/((B34*60)+C34))+(A34/((L34*60)+M34)))/2))/60)</f>
        <v>61</v>
      </c>
      <c r="I34" s="25">
        <f>MOD((A34/(((A34/((B34*60)+C34))+(A34/((L34*60)+M34)))/2)),60)</f>
        <v>56.8190470083633</v>
      </c>
      <c r="J34" s="73">
        <f>TRUNC((2*A34/((A34/(H34*60+I34))+(A34/(L34*60+M34))))/60)</f>
        <v>63</v>
      </c>
      <c r="K34" s="25">
        <f>MOD((2*A34/((A34/(H34*60+I34))+(A34/(L34*60+M34)))),60)</f>
        <v>58.620184920821</v>
      </c>
      <c r="L34" s="74">
        <f>TRUNC((A34/((4*($A$17/(($B$17*60)+$C$17)))-(3*($A$15/(($B$15*60)+$C$15)))))/60)</f>
        <v>66</v>
      </c>
      <c r="M34" s="25">
        <f>MOD((A34/((4*($A$17/(($B$17*60)+$C$17)))-(3*($A$15/(($B$15*60)+$C$15))))),60)</f>
        <v>8.674698795180721</v>
      </c>
      <c r="N34" s="55"/>
      <c r="O34" s="45">
        <f>C34+B34*60</f>
        <v>3495.021830568760</v>
      </c>
      <c r="P34" s="56">
        <f>A34</f>
        <v>4000</v>
      </c>
      <c r="Q34" s="57">
        <f>P34/O34</f>
        <v>1.14448498290183</v>
      </c>
      <c r="R34" s="57">
        <f>P34/(H34*60+I34)</f>
        <v>1.07618906097125</v>
      </c>
      <c r="S34" s="64"/>
      <c r="T34" s="59"/>
      <c r="U34" s="59"/>
      <c r="V34" s="59"/>
      <c r="W34" s="59"/>
      <c r="X34" s="59"/>
    </row>
    <row r="35" ht="12" customHeight="1">
      <c r="A35" s="4"/>
      <c r="B35" s="3"/>
      <c r="C35" s="4"/>
      <c r="D35" s="3"/>
      <c r="E35" s="3"/>
      <c r="F35" s="3"/>
      <c r="G35" s="26"/>
      <c r="H35" s="26"/>
      <c r="I35" s="26"/>
      <c r="J35" s="26"/>
      <c r="K35" s="26"/>
      <c r="L35" s="26"/>
      <c r="M35" s="75"/>
      <c r="N35" s="59"/>
      <c r="O35" s="8"/>
      <c r="P35" s="8"/>
      <c r="Q35" s="8"/>
      <c r="R35" s="8"/>
      <c r="S35" s="8"/>
      <c r="T35" s="8"/>
      <c r="U35" s="8"/>
      <c r="V35" s="8"/>
      <c r="W35" s="8"/>
      <c r="X35" s="8"/>
    </row>
    <row r="36" ht="12" customHeight="1">
      <c r="A36" s="8"/>
      <c r="B36" s="8"/>
      <c r="C36" s="8"/>
      <c r="D36" s="7"/>
      <c r="E36" s="8"/>
      <c r="F36" s="64"/>
      <c r="G36" s="8"/>
      <c r="H36" s="8"/>
      <c r="I36" s="8"/>
      <c r="J36" s="8"/>
      <c r="K36" s="8"/>
      <c r="L36" s="8"/>
      <c r="M36" s="59"/>
      <c r="N36" s="59"/>
      <c r="O36" s="8"/>
      <c r="P36" s="8"/>
      <c r="Q36" s="8"/>
      <c r="R36" s="8"/>
      <c r="S36" s="8"/>
      <c r="T36" s="8"/>
      <c r="U36" s="8"/>
      <c r="V36" s="8"/>
      <c r="W36" s="8"/>
      <c r="X36" s="8"/>
    </row>
    <row r="37" ht="12" customHeight="1">
      <c r="A37" s="8"/>
      <c r="B37" s="8"/>
      <c r="C37" s="8"/>
      <c r="D37" s="8"/>
      <c r="E37" s="8"/>
      <c r="F37" s="8"/>
      <c r="G37" s="8"/>
      <c r="H37" s="8"/>
      <c r="I37" s="8"/>
      <c r="J37" s="8"/>
      <c r="K37" s="8"/>
      <c r="L37" s="8"/>
      <c r="M37" s="8"/>
      <c r="N37" s="8"/>
      <c r="O37" s="8"/>
      <c r="P37" s="8"/>
      <c r="Q37" s="8"/>
      <c r="R37" s="8"/>
      <c r="S37" s="8"/>
      <c r="T37" s="8"/>
      <c r="U37" s="8"/>
      <c r="V37" s="8"/>
      <c r="W37" s="8"/>
      <c r="X37" s="8"/>
    </row>
    <row r="38" ht="12" customHeight="1">
      <c r="A38" s="76"/>
      <c r="B38" s="7"/>
      <c r="C38" s="28"/>
      <c r="D38" s="77"/>
      <c r="E38" s="8"/>
      <c r="F38" s="8"/>
      <c r="G38" s="8"/>
      <c r="H38" s="8"/>
      <c r="I38" s="8"/>
      <c r="J38" s="8"/>
      <c r="K38" s="8"/>
      <c r="L38" s="8"/>
      <c r="M38" s="8"/>
      <c r="N38" s="8"/>
      <c r="O38" s="8"/>
      <c r="P38" s="8"/>
      <c r="Q38" s="8"/>
      <c r="R38" s="8"/>
      <c r="S38" s="8"/>
      <c r="T38" s="8"/>
      <c r="U38" s="8"/>
      <c r="V38" s="8"/>
      <c r="W38" s="8"/>
      <c r="X38" s="8"/>
    </row>
    <row r="39" ht="12" customHeight="1">
      <c r="A39" s="7"/>
      <c r="B39" s="7"/>
      <c r="C39" t="s" s="13">
        <v>32</v>
      </c>
      <c r="D39" s="8"/>
      <c r="E39" t="s" s="13">
        <v>15</v>
      </c>
      <c r="F39" t="s" s="13">
        <v>16</v>
      </c>
      <c r="G39" s="8"/>
      <c r="H39" s="8"/>
      <c r="I39" t="s" s="13">
        <v>33</v>
      </c>
      <c r="J39" s="8"/>
      <c r="K39" t="s" s="13">
        <v>34</v>
      </c>
      <c r="L39" s="8"/>
      <c r="M39" s="8"/>
      <c r="N39" s="8"/>
      <c r="O39" s="8"/>
      <c r="P39" s="8"/>
      <c r="Q39" s="8"/>
      <c r="R39" s="8"/>
      <c r="S39" s="8"/>
      <c r="T39" s="8"/>
      <c r="U39" s="8"/>
      <c r="V39" s="8"/>
      <c r="W39" s="8"/>
      <c r="X39" s="8"/>
    </row>
    <row r="40" ht="12" customHeight="1">
      <c r="A40" s="8"/>
      <c r="B40" s="8"/>
      <c r="C40" s="8"/>
      <c r="D40" s="8"/>
      <c r="E40" t="s" s="78">
        <v>35</v>
      </c>
      <c r="F40" s="8"/>
      <c r="G40" s="8"/>
      <c r="H40" s="8"/>
      <c r="I40" s="8"/>
      <c r="J40" s="8"/>
      <c r="K40" t="s" s="78">
        <v>36</v>
      </c>
      <c r="L40" s="8"/>
      <c r="M40" s="8"/>
      <c r="N40" s="8"/>
      <c r="O40" s="8"/>
      <c r="P40" s="8"/>
      <c r="Q40" s="8"/>
      <c r="R40" s="8"/>
      <c r="S40" s="8"/>
      <c r="T40" s="8"/>
      <c r="U40" s="8"/>
      <c r="V40" s="8"/>
      <c r="W40" s="8"/>
      <c r="X40" s="8"/>
    </row>
    <row r="41" ht="12" customHeight="1">
      <c r="A41" s="79">
        <v>50</v>
      </c>
      <c r="B41" s="80"/>
      <c r="C41" s="28"/>
      <c r="D41" s="77"/>
      <c r="E41" s="64">
        <f>SLOPE($P$13:P14,$O$13:O14)</f>
        <v>1.50695847684883</v>
      </c>
      <c r="F41" s="7"/>
      <c r="G41" s="7"/>
      <c r="H41" s="7"/>
      <c r="I41" s="7"/>
      <c r="J41" s="7"/>
      <c r="K41" s="7">
        <f>ABS(INTERCEPT($P$13:P14,$O$13:O14))</f>
        <v>9.26760484622511</v>
      </c>
      <c r="L41" s="8"/>
      <c r="M41" s="8"/>
      <c r="N41" s="8"/>
      <c r="O41" s="8"/>
      <c r="P41" s="8"/>
      <c r="Q41" s="8"/>
      <c r="R41" s="8"/>
      <c r="S41" s="8"/>
      <c r="T41" s="8"/>
      <c r="U41" s="8"/>
      <c r="V41" s="8"/>
      <c r="W41" s="8"/>
      <c r="X41" s="8"/>
    </row>
    <row r="42" ht="12" customHeight="1">
      <c r="A42" s="79">
        <v>75</v>
      </c>
      <c r="B42" s="28"/>
      <c r="C42" s="81"/>
      <c r="D42" s="28"/>
      <c r="E42" s="64">
        <f>SLOPE($P$13:P15,$O$13:O15)</f>
        <v>1.47160105699739</v>
      </c>
      <c r="F42" s="7"/>
      <c r="G42" s="7"/>
      <c r="H42" s="7"/>
      <c r="I42" s="7"/>
      <c r="J42" s="7"/>
      <c r="K42" s="7">
        <f>ABS(INTERCEPT($P$13:P15,$O$13:O15))</f>
        <v>10.421834694392</v>
      </c>
      <c r="L42" s="8"/>
      <c r="M42" s="8"/>
      <c r="N42" s="8"/>
      <c r="O42" s="8"/>
      <c r="P42" s="8"/>
      <c r="Q42" s="8"/>
      <c r="R42" s="8"/>
      <c r="S42" s="8"/>
      <c r="T42" s="8"/>
      <c r="U42" s="8"/>
      <c r="V42" s="8"/>
      <c r="W42" s="8"/>
      <c r="X42" s="8"/>
    </row>
    <row r="43" ht="12" customHeight="1">
      <c r="A43" s="79">
        <v>100</v>
      </c>
      <c r="B43" s="28"/>
      <c r="C43" s="82"/>
      <c r="D43" s="28"/>
      <c r="E43" s="64">
        <f>SLOPE($P$13:P16,$O$13:O16)</f>
        <v>1.41828419377338</v>
      </c>
      <c r="F43" s="7"/>
      <c r="G43" s="7"/>
      <c r="H43" s="7"/>
      <c r="I43" s="7"/>
      <c r="J43" s="7"/>
      <c r="K43" s="7">
        <f>ABS(INTERCEPT($P$13:P16,$O$13:O16))</f>
        <v>12.5695475813776</v>
      </c>
      <c r="L43" s="8"/>
      <c r="M43" s="8"/>
      <c r="N43" s="8"/>
      <c r="O43" s="8"/>
      <c r="P43" s="8"/>
      <c r="Q43" s="8"/>
      <c r="R43" s="8"/>
      <c r="S43" s="8"/>
      <c r="T43" s="8"/>
      <c r="U43" s="8"/>
      <c r="V43" s="8"/>
      <c r="W43" s="8"/>
      <c r="X43" s="8"/>
    </row>
    <row r="44" ht="12" customHeight="1">
      <c r="A44" s="79">
        <v>150</v>
      </c>
      <c r="B44" s="7"/>
      <c r="C44" s="28"/>
      <c r="D44" s="77"/>
      <c r="E44" s="64">
        <f>SLOPE($P$13:P17,$O$13:O17)</f>
        <v>1.38503545396609</v>
      </c>
      <c r="F44" s="7"/>
      <c r="G44" s="7"/>
      <c r="H44" s="7"/>
      <c r="I44" s="7"/>
      <c r="J44" s="7"/>
      <c r="K44" s="7">
        <f>ABS(INTERCEPT($P$13:P17,$O$13:O17))</f>
        <v>14.1821670638784</v>
      </c>
      <c r="L44" s="8"/>
      <c r="M44" s="8"/>
      <c r="N44" s="8"/>
      <c r="O44" s="8"/>
      <c r="P44" s="8"/>
      <c r="Q44" s="8"/>
      <c r="R44" s="8"/>
      <c r="S44" s="8"/>
      <c r="T44" s="8"/>
      <c r="U44" s="8"/>
      <c r="V44" s="8"/>
      <c r="W44" s="8"/>
      <c r="X44" s="8"/>
    </row>
    <row r="45" ht="12" customHeight="1">
      <c r="A45" s="79">
        <v>200</v>
      </c>
      <c r="B45" s="8"/>
      <c r="C45" s="28"/>
      <c r="D45" s="77"/>
      <c r="E45" s="64">
        <f>SLOPE($P$13:P18,$O$13:O18)</f>
        <v>1.36035343063172</v>
      </c>
      <c r="F45" s="7"/>
      <c r="G45" s="7"/>
      <c r="H45" s="7"/>
      <c r="I45" s="7"/>
      <c r="J45" s="7"/>
      <c r="K45" s="7">
        <f>ABS(INTERCEPT($P$13:P18,$O$13:O18))</f>
        <v>15.6090594880995</v>
      </c>
      <c r="L45" s="8"/>
      <c r="M45" s="8"/>
      <c r="N45" s="8"/>
      <c r="O45" s="8"/>
      <c r="P45" s="8"/>
      <c r="Q45" s="8"/>
      <c r="R45" s="8"/>
      <c r="S45" s="8"/>
      <c r="T45" s="8"/>
      <c r="U45" s="8"/>
      <c r="V45" s="8"/>
      <c r="W45" s="8"/>
      <c r="X45" s="8"/>
    </row>
    <row r="46" ht="12" customHeight="1">
      <c r="A46" s="79">
        <v>250</v>
      </c>
      <c r="B46" s="83"/>
      <c r="C46" s="84"/>
      <c r="D46" s="84"/>
      <c r="E46" s="64">
        <f>SLOPE($P$13:P19,$O$13:O19)</f>
        <v>1.34060494417916</v>
      </c>
      <c r="F46" s="84"/>
      <c r="G46" s="84"/>
      <c r="H46" s="84"/>
      <c r="I46" s="84"/>
      <c r="J46" s="84"/>
      <c r="K46" s="7">
        <f>ABS(INTERCEPT($P$13:P19,$O$13:O19))</f>
        <v>16.9510624311972</v>
      </c>
      <c r="L46" s="85"/>
      <c r="M46" s="8"/>
      <c r="N46" s="8"/>
      <c r="O46" s="8"/>
      <c r="P46" s="8"/>
      <c r="Q46" s="8"/>
      <c r="R46" s="8"/>
      <c r="S46" s="8"/>
      <c r="T46" s="8"/>
      <c r="U46" s="8"/>
      <c r="V46" s="8"/>
      <c r="W46" s="8"/>
      <c r="X46" s="8"/>
    </row>
    <row r="47" ht="12" customHeight="1">
      <c r="A47" s="79">
        <v>300</v>
      </c>
      <c r="B47" s="83"/>
      <c r="C47" s="86"/>
      <c r="D47" s="83"/>
      <c r="E47" s="64">
        <f>SLOPE($P$13:P20,$O$13:O20)</f>
        <v>1.31221997195578</v>
      </c>
      <c r="F47" s="83"/>
      <c r="G47" s="86"/>
      <c r="H47" s="83"/>
      <c r="I47" s="86"/>
      <c r="J47" s="83"/>
      <c r="K47" s="7">
        <f>ABS(INTERCEPT($P$13:P20,$O$13:O20))</f>
        <v>19.3614073693888</v>
      </c>
      <c r="L47" s="83"/>
      <c r="M47" s="8"/>
      <c r="N47" s="8"/>
      <c r="O47" s="8"/>
      <c r="P47" s="8"/>
      <c r="Q47" s="8"/>
      <c r="R47" s="8"/>
      <c r="S47" s="8"/>
      <c r="T47" s="8"/>
      <c r="U47" s="8"/>
      <c r="V47" s="8"/>
      <c r="W47" s="8"/>
      <c r="X47" s="8"/>
    </row>
    <row r="48" ht="12" customHeight="1">
      <c r="A48" s="79">
        <v>400</v>
      </c>
      <c r="B48" s="28"/>
      <c r="C48" s="82"/>
      <c r="D48" s="87"/>
      <c r="E48" s="64">
        <f>SLOPE($P$13:P21,$O$13:O21)</f>
        <v>1.2889352892042</v>
      </c>
      <c r="F48" s="28"/>
      <c r="G48" s="82"/>
      <c r="H48" s="28"/>
      <c r="I48" s="82"/>
      <c r="J48" s="8"/>
      <c r="K48" s="7">
        <f>ABS(INTERCEPT($P$13:P21,$O$13:O21))</f>
        <v>21.6941525873284</v>
      </c>
      <c r="L48" s="8"/>
      <c r="M48" s="8"/>
      <c r="N48" s="8"/>
      <c r="O48" s="8"/>
      <c r="P48" s="8"/>
      <c r="Q48" s="8"/>
      <c r="R48" s="8"/>
      <c r="S48" s="8"/>
      <c r="T48" s="8"/>
      <c r="U48" s="8"/>
      <c r="V48" s="8"/>
      <c r="W48" s="8"/>
      <c r="X48" s="8"/>
    </row>
    <row r="49" ht="12" customHeight="1">
      <c r="A49" s="79">
        <v>500</v>
      </c>
      <c r="B49" s="28"/>
      <c r="C49" s="82"/>
      <c r="D49" s="87"/>
      <c r="E49" s="64">
        <f>SLOPE($P$13:P22,$O$13:O22)</f>
        <v>1.27092757813271</v>
      </c>
      <c r="F49" s="28"/>
      <c r="G49" s="82"/>
      <c r="H49" s="28"/>
      <c r="I49" s="82"/>
      <c r="J49" s="8"/>
      <c r="K49" s="7">
        <f>ABS(INTERCEPT($P$13:P22,$O$13:O22))</f>
        <v>23.7847916665007</v>
      </c>
      <c r="L49" s="7"/>
      <c r="M49" s="86"/>
      <c r="N49" s="86"/>
      <c r="O49" s="8"/>
      <c r="P49" s="8"/>
      <c r="Q49" s="8"/>
      <c r="R49" s="8"/>
      <c r="S49" s="8"/>
      <c r="T49" s="8"/>
      <c r="U49" s="8"/>
      <c r="V49" s="8"/>
      <c r="W49" s="8"/>
      <c r="X49" s="8"/>
    </row>
    <row r="50" ht="12" customHeight="1">
      <c r="A50" s="79">
        <v>600</v>
      </c>
      <c r="B50" s="28"/>
      <c r="C50" s="82"/>
      <c r="D50" s="87"/>
      <c r="E50" s="64">
        <f>SLOPE($P$13:P23,$O$13:O23)</f>
        <v>1.24751261410376</v>
      </c>
      <c r="F50" s="28"/>
      <c r="G50" s="82"/>
      <c r="H50" s="28"/>
      <c r="I50" s="82"/>
      <c r="J50" s="8"/>
      <c r="K50" s="7">
        <f>ABS(INTERCEPT($P$13:P23,$O$13:O23))</f>
        <v>27.148766042049</v>
      </c>
      <c r="L50" s="7"/>
      <c r="M50" s="8"/>
      <c r="N50" s="8"/>
      <c r="O50" s="8"/>
      <c r="P50" s="8"/>
      <c r="Q50" s="8"/>
      <c r="R50" s="8"/>
      <c r="S50" s="8"/>
      <c r="T50" s="8"/>
      <c r="U50" s="8"/>
      <c r="V50" s="8"/>
      <c r="W50" s="8"/>
      <c r="X50" s="8"/>
    </row>
    <row r="51" ht="12" customHeight="1">
      <c r="A51" s="79">
        <v>800</v>
      </c>
      <c r="B51" s="28"/>
      <c r="C51" s="82"/>
      <c r="D51" s="87"/>
      <c r="E51" s="64">
        <f>SLOPE($P$13:P24,$O$13:O24)</f>
        <v>1.2345214609734</v>
      </c>
      <c r="F51" s="28"/>
      <c r="G51" s="82"/>
      <c r="H51" s="28"/>
      <c r="I51" s="82"/>
      <c r="J51" s="8"/>
      <c r="K51" s="7">
        <f>ABS(INTERCEPT($P$13:P24,$O$13:O24))</f>
        <v>29.2078906731845</v>
      </c>
      <c r="L51" s="7"/>
      <c r="M51" s="8"/>
      <c r="N51" s="8"/>
      <c r="O51" s="8"/>
      <c r="P51" s="8"/>
      <c r="Q51" s="8"/>
      <c r="R51" s="8"/>
      <c r="S51" s="8"/>
      <c r="T51" s="8"/>
      <c r="U51" s="8"/>
      <c r="V51" s="8"/>
      <c r="W51" s="8"/>
      <c r="X51" s="8"/>
    </row>
    <row r="52" ht="12" customHeight="1">
      <c r="A52" s="79">
        <v>900</v>
      </c>
      <c r="B52" s="28"/>
      <c r="C52" s="82"/>
      <c r="D52" s="87"/>
      <c r="E52" s="64">
        <f>SLOPE($P$13:P25,$O$13:O25)</f>
        <v>1.22510997324141</v>
      </c>
      <c r="F52" s="28"/>
      <c r="G52" s="82"/>
      <c r="H52" s="28"/>
      <c r="I52" s="82"/>
      <c r="J52" s="8"/>
      <c r="K52" s="7">
        <f>ABS(INTERCEPT($P$13:P25,$O$13:O25))</f>
        <v>30.8671797280161</v>
      </c>
      <c r="L52" s="7"/>
      <c r="M52" s="8"/>
      <c r="N52" s="8"/>
      <c r="O52" s="8"/>
      <c r="P52" s="8"/>
      <c r="Q52" s="8"/>
      <c r="R52" s="8"/>
      <c r="S52" s="8"/>
      <c r="T52" s="8"/>
      <c r="U52" s="8"/>
      <c r="V52" s="8"/>
      <c r="W52" s="8"/>
      <c r="X52" s="8"/>
    </row>
    <row r="53" ht="12" customHeight="1">
      <c r="A53" s="79">
        <v>1000</v>
      </c>
      <c r="B53" s="28"/>
      <c r="C53" s="82"/>
      <c r="D53" s="87"/>
      <c r="E53" s="64">
        <f>SLOPE($P$13:P26,$O$13:O26)</f>
        <v>1.21374170626225</v>
      </c>
      <c r="F53" s="28"/>
      <c r="G53" s="82"/>
      <c r="H53" s="28"/>
      <c r="I53" s="82"/>
      <c r="J53" s="8"/>
      <c r="K53" s="7">
        <f>ABS(INTERCEPT($P$13:P26,$O$13:O26))</f>
        <v>33.2664532961703</v>
      </c>
      <c r="L53" s="7"/>
      <c r="M53" s="8"/>
      <c r="N53" s="8"/>
      <c r="O53" s="8"/>
      <c r="P53" s="8"/>
      <c r="Q53" s="8"/>
      <c r="R53" s="8"/>
      <c r="S53" s="8"/>
      <c r="T53" s="8"/>
      <c r="U53" s="8"/>
      <c r="V53" s="8"/>
      <c r="W53" s="8"/>
      <c r="X53" s="8"/>
    </row>
    <row r="54" ht="12" customHeight="1">
      <c r="A54" s="88">
        <v>1200</v>
      </c>
      <c r="B54" s="28"/>
      <c r="C54" s="82"/>
      <c r="D54" s="87"/>
      <c r="E54" s="64">
        <f>SLOPE($P$13:P27,$O$13:O27)</f>
        <v>1.19961390264894</v>
      </c>
      <c r="F54" s="28"/>
      <c r="G54" s="82"/>
      <c r="H54" s="28"/>
      <c r="I54" s="82"/>
      <c r="J54" s="8"/>
      <c r="K54" s="7">
        <f>ABS(INTERCEPT($P$13:P27,$O$13:O27))</f>
        <v>36.863335608245</v>
      </c>
      <c r="L54" s="7"/>
      <c r="M54" s="8"/>
      <c r="N54" s="8"/>
      <c r="O54" s="8"/>
      <c r="P54" s="8"/>
      <c r="Q54" s="8"/>
      <c r="R54" s="8"/>
      <c r="S54" s="8"/>
      <c r="T54" s="8"/>
      <c r="U54" s="8"/>
      <c r="V54" s="8"/>
      <c r="W54" s="8"/>
      <c r="X54" s="8"/>
    </row>
    <row r="55" ht="12" customHeight="1">
      <c r="A55" s="79">
        <v>1500</v>
      </c>
      <c r="B55" s="28"/>
      <c r="C55" s="82"/>
      <c r="D55" s="87"/>
      <c r="E55" s="64">
        <f>SLOPE($P$13:P28,$O$13:O28)</f>
        <v>1.19151378304988</v>
      </c>
      <c r="F55" s="28"/>
      <c r="G55" s="82"/>
      <c r="H55" s="28"/>
      <c r="I55" s="82"/>
      <c r="J55" s="8"/>
      <c r="K55" s="7">
        <f>ABS(INTERCEPT($P$13:P28,$O$13:O28))</f>
        <v>39.0519985377134</v>
      </c>
      <c r="L55" s="7"/>
      <c r="M55" s="8"/>
      <c r="N55" s="8"/>
      <c r="O55" s="8"/>
      <c r="P55" s="8"/>
      <c r="Q55" s="8"/>
      <c r="R55" s="8"/>
      <c r="S55" s="8"/>
      <c r="T55" s="8"/>
      <c r="U55" s="8"/>
      <c r="V55" s="8"/>
      <c r="W55" s="8"/>
      <c r="X55" s="8"/>
    </row>
    <row r="56" ht="12" customHeight="1">
      <c r="A56" s="79">
        <v>1600</v>
      </c>
      <c r="B56" s="28"/>
      <c r="C56" s="82"/>
      <c r="D56" s="87"/>
      <c r="E56" s="64">
        <f>SLOPE($P$13:P29,$O$13:O29)</f>
        <v>1.18006301113153</v>
      </c>
      <c r="F56" s="28"/>
      <c r="G56" s="82"/>
      <c r="H56" s="28"/>
      <c r="I56" s="82"/>
      <c r="J56" s="8"/>
      <c r="K56" s="7">
        <f>ABS(INTERCEPT($P$13:P29,$O$13:O29))</f>
        <v>42.8266387570418</v>
      </c>
      <c r="L56" s="7"/>
      <c r="M56" s="8"/>
      <c r="N56" s="8"/>
      <c r="O56" s="8"/>
      <c r="P56" s="8"/>
      <c r="Q56" s="8"/>
      <c r="R56" s="8"/>
      <c r="S56" s="8"/>
      <c r="T56" s="8"/>
      <c r="U56" s="8"/>
      <c r="V56" s="8"/>
      <c r="W56" s="8"/>
      <c r="X56" s="8"/>
    </row>
    <row r="57" ht="12" customHeight="1">
      <c r="A57" s="79">
        <v>2000</v>
      </c>
      <c r="B57" s="28"/>
      <c r="C57" s="82"/>
      <c r="D57" s="87"/>
      <c r="E57" s="64">
        <f>SLOPE($P$13:P30,$O$13:O30)</f>
        <v>1.16883738612276</v>
      </c>
      <c r="F57" s="28"/>
      <c r="G57" s="82"/>
      <c r="H57" s="28"/>
      <c r="I57" s="82"/>
      <c r="J57" s="8"/>
      <c r="K57" s="7">
        <f>ABS(INTERCEPT($P$13:P30,$O$13:O30))</f>
        <v>47.1020014309669</v>
      </c>
      <c r="L57" s="7"/>
      <c r="M57" s="8"/>
      <c r="N57" s="8"/>
      <c r="O57" s="8"/>
      <c r="P57" s="8"/>
      <c r="Q57" s="8"/>
      <c r="R57" s="8"/>
      <c r="S57" s="8"/>
      <c r="T57" s="8"/>
      <c r="U57" s="8"/>
      <c r="V57" s="8"/>
      <c r="W57" s="8"/>
      <c r="X57" s="8"/>
    </row>
    <row r="58" ht="12" customHeight="1">
      <c r="A58" s="79">
        <v>2400</v>
      </c>
      <c r="B58" s="28"/>
      <c r="C58" s="82"/>
      <c r="D58" s="87"/>
      <c r="E58" s="64">
        <f>SLOPE($P$13:P31,$O$13:O31)</f>
        <v>1.162670572058</v>
      </c>
      <c r="F58" s="28"/>
      <c r="G58" s="82"/>
      <c r="H58" s="28"/>
      <c r="I58" s="82"/>
      <c r="J58" s="8"/>
      <c r="K58" s="7">
        <f>ABS(INTERCEPT($P$13:P31,$O$13:O31))</f>
        <v>49.5414152735997</v>
      </c>
      <c r="L58" s="7"/>
      <c r="M58" s="8"/>
      <c r="N58" s="8"/>
      <c r="O58" s="8"/>
      <c r="P58" s="8"/>
      <c r="Q58" s="8"/>
      <c r="R58" s="8"/>
      <c r="S58" s="8"/>
      <c r="T58" s="8"/>
      <c r="U58" s="8"/>
      <c r="V58" s="8"/>
      <c r="W58" s="8"/>
      <c r="X58" s="8"/>
    </row>
    <row r="59" ht="12" customHeight="1">
      <c r="A59" s="79">
        <v>2500</v>
      </c>
      <c r="B59" s="28"/>
      <c r="C59" s="82"/>
      <c r="D59" s="87"/>
      <c r="E59" s="64">
        <f>SLOPE($P$13:P32,$O$13:O32)</f>
        <v>1.15480247437527</v>
      </c>
      <c r="F59" s="28"/>
      <c r="G59" s="82"/>
      <c r="H59" s="28"/>
      <c r="I59" s="82"/>
      <c r="J59" s="8"/>
      <c r="K59" s="7">
        <f>ABS(INTERCEPT($P$13:P32,$O$13:O32))</f>
        <v>53.2417066582066</v>
      </c>
      <c r="L59" s="7"/>
      <c r="M59" s="8"/>
      <c r="N59" s="8"/>
      <c r="O59" s="8"/>
      <c r="P59" s="8"/>
      <c r="Q59" s="8"/>
      <c r="R59" s="8"/>
      <c r="S59" s="8"/>
      <c r="T59" s="8"/>
      <c r="U59" s="8"/>
      <c r="V59" s="8"/>
      <c r="W59" s="8"/>
      <c r="X59" s="8"/>
    </row>
    <row r="60" ht="12" customHeight="1">
      <c r="A60" s="79">
        <v>3000</v>
      </c>
      <c r="B60" s="28"/>
      <c r="C60" s="82"/>
      <c r="D60" s="87"/>
      <c r="E60" s="64">
        <f>SLOPE($P$13:P33,$O$13:O33)</f>
        <v>1.14932235574167</v>
      </c>
      <c r="F60" s="28"/>
      <c r="G60" s="82"/>
      <c r="H60" s="28"/>
      <c r="I60" s="82"/>
      <c r="J60" s="8"/>
      <c r="K60" s="7">
        <f>ABS(INTERCEPT($P$13:P33,$O$13:O33))</f>
        <v>55.9858007319585</v>
      </c>
      <c r="L60" s="7"/>
      <c r="M60" s="8"/>
      <c r="N60" s="8"/>
      <c r="O60" s="8"/>
      <c r="P60" s="8"/>
      <c r="Q60" s="8"/>
      <c r="R60" s="8"/>
      <c r="S60" s="8"/>
      <c r="T60" s="8"/>
      <c r="U60" s="8"/>
      <c r="V60" s="8"/>
      <c r="W60" s="8"/>
      <c r="X60" s="8"/>
    </row>
    <row r="61" ht="12" customHeight="1">
      <c r="A61" s="79">
        <v>3200</v>
      </c>
      <c r="B61" s="28"/>
      <c r="C61" s="82"/>
      <c r="D61" s="87"/>
      <c r="E61" s="64"/>
      <c r="F61" s="28"/>
      <c r="G61" s="82"/>
      <c r="H61" s="28"/>
      <c r="I61" s="82"/>
      <c r="J61" s="8"/>
      <c r="K61" s="77"/>
      <c r="L61" s="7"/>
      <c r="M61" s="8"/>
      <c r="N61" s="8"/>
      <c r="O61" s="8"/>
      <c r="P61" s="8"/>
      <c r="Q61" s="8"/>
      <c r="R61" s="8"/>
      <c r="S61" s="8"/>
      <c r="T61" s="8"/>
      <c r="U61" s="8"/>
      <c r="V61" s="8"/>
      <c r="W61" s="8"/>
      <c r="X61" s="8"/>
    </row>
    <row r="62" ht="12" customHeight="1">
      <c r="A62" s="89">
        <v>4000</v>
      </c>
      <c r="B62" s="28"/>
      <c r="C62" s="82"/>
      <c r="D62" s="87"/>
      <c r="E62" s="64"/>
      <c r="F62" s="28"/>
      <c r="G62" s="82"/>
      <c r="H62" s="28"/>
      <c r="I62" s="82"/>
      <c r="J62" s="8"/>
      <c r="K62" s="77"/>
      <c r="L62" s="7"/>
      <c r="M62" s="8"/>
      <c r="N62" s="8"/>
      <c r="O62" s="8"/>
      <c r="P62" s="8"/>
      <c r="Q62" s="8"/>
      <c r="R62" s="8"/>
      <c r="S62" s="8"/>
      <c r="T62" s="8"/>
      <c r="U62" s="8"/>
      <c r="V62" s="8"/>
      <c r="W62" s="8"/>
      <c r="X62" s="8"/>
    </row>
    <row r="63" ht="12" customHeight="1">
      <c r="A63" s="90"/>
      <c r="B63" s="28"/>
      <c r="C63" s="82"/>
      <c r="D63" s="28"/>
      <c r="E63" s="64"/>
      <c r="F63" s="28"/>
      <c r="G63" s="82"/>
      <c r="H63" s="28"/>
      <c r="I63" s="82"/>
      <c r="J63" s="8"/>
      <c r="K63" s="82"/>
      <c r="L63" s="7"/>
      <c r="M63" s="8"/>
      <c r="N63" s="8"/>
      <c r="O63" s="8"/>
      <c r="P63" s="8"/>
      <c r="Q63" s="8"/>
      <c r="R63" s="8"/>
      <c r="S63" s="8"/>
      <c r="T63" s="8"/>
      <c r="U63" s="8"/>
      <c r="V63" s="8"/>
      <c r="W63" s="8"/>
      <c r="X63" s="8"/>
    </row>
    <row r="64" ht="12" customHeight="1">
      <c r="A64" s="91"/>
      <c r="B64" s="28"/>
      <c r="C64" s="82"/>
      <c r="D64" s="28"/>
      <c r="E64" s="64"/>
      <c r="F64" s="28"/>
      <c r="G64" s="82"/>
      <c r="H64" s="28"/>
      <c r="I64" s="82"/>
      <c r="J64" s="8"/>
      <c r="K64" s="82"/>
      <c r="L64" s="7"/>
      <c r="M64" s="8"/>
      <c r="N64" s="8"/>
      <c r="O64" s="8"/>
      <c r="P64" s="8"/>
      <c r="Q64" s="8"/>
      <c r="R64" s="8"/>
      <c r="S64" s="8"/>
      <c r="T64" s="8"/>
      <c r="U64" s="8"/>
      <c r="V64" s="8"/>
      <c r="W64" s="8"/>
      <c r="X64" s="8"/>
    </row>
    <row r="65" ht="12" customHeight="1">
      <c r="A65" s="91"/>
      <c r="B65" s="28"/>
      <c r="C65" s="82"/>
      <c r="D65" s="28"/>
      <c r="E65" s="82"/>
      <c r="F65" s="28"/>
      <c r="G65" s="82"/>
      <c r="H65" s="28"/>
      <c r="I65" s="82"/>
      <c r="J65" s="8"/>
      <c r="K65" s="82"/>
      <c r="L65" s="7"/>
      <c r="M65" s="8"/>
      <c r="N65" s="8"/>
      <c r="O65" s="8"/>
      <c r="P65" s="8"/>
      <c r="Q65" s="8"/>
      <c r="R65" s="8"/>
      <c r="S65" s="8"/>
      <c r="T65" s="8"/>
      <c r="U65" s="8"/>
      <c r="V65" s="8"/>
      <c r="W65" s="8"/>
      <c r="X65" s="8"/>
    </row>
    <row r="66" ht="12" customHeight="1">
      <c r="A66" s="8"/>
      <c r="B66" s="8"/>
      <c r="C66" s="8"/>
      <c r="D66" s="8"/>
      <c r="E66" s="8"/>
      <c r="F66" s="8"/>
      <c r="G66" s="8"/>
      <c r="H66" s="8"/>
      <c r="I66" s="8"/>
      <c r="J66" s="8"/>
      <c r="K66" s="8"/>
      <c r="L66" s="8"/>
      <c r="M66" s="8"/>
      <c r="N66" s="8"/>
      <c r="O66" s="8"/>
      <c r="P66" s="8"/>
      <c r="Q66" s="8"/>
      <c r="R66" s="8"/>
      <c r="S66" s="8"/>
      <c r="T66" s="8"/>
      <c r="U66" s="8"/>
      <c r="V66" s="8"/>
      <c r="W66" s="8"/>
      <c r="X66" s="8"/>
    </row>
    <row r="67" ht="12" customHeight="1">
      <c r="A67" s="8"/>
      <c r="B67" s="8"/>
      <c r="C67" s="8"/>
      <c r="D67" s="8"/>
      <c r="E67" s="8"/>
      <c r="F67" s="8"/>
      <c r="G67" s="8"/>
      <c r="H67" s="8"/>
      <c r="I67" s="8"/>
      <c r="J67" s="8"/>
      <c r="K67" s="8"/>
      <c r="L67" s="8"/>
      <c r="M67" s="8"/>
      <c r="N67" s="8"/>
      <c r="O67" s="8"/>
      <c r="P67" s="8"/>
      <c r="Q67" s="8"/>
      <c r="R67" s="8"/>
      <c r="S67" s="8"/>
      <c r="T67" s="8"/>
      <c r="U67" s="8"/>
      <c r="V67" s="8"/>
      <c r="W67" s="8"/>
      <c r="X67" s="8"/>
    </row>
  </sheetData>
  <pageMargins left="0.75" right="0.75" top="1" bottom="1" header="0.5" footer="0.5"/>
  <pageSetup firstPageNumber="1" fitToHeight="1" fitToWidth="1" scale="100" useFirstPageNumber="0" orientation="landscape" pageOrder="downThenOver"/>
  <headerFooter>
    <oddFooter>&amp;C&amp;"Helvetica Neue,Regular"&amp;12&amp;K000000&amp;P</oddFooter>
  </headerFooter>
  <drawing r:id="rId1"/>
</worksheet>
</file>

<file path=xl/worksheets/sheet2.xml><?xml version="1.0" encoding="utf-8"?>
<worksheet xmlns:r="http://schemas.openxmlformats.org/officeDocument/2006/relationships" xmlns="http://schemas.openxmlformats.org/spreadsheetml/2006/main">
  <dimension ref="A1:X67"/>
  <sheetViews>
    <sheetView workbookViewId="0" showGridLines="0" defaultGridColor="1"/>
  </sheetViews>
  <sheetFormatPr defaultColWidth="10.6667" defaultRowHeight="12" customHeight="1" outlineLevelRow="0" outlineLevelCol="0"/>
  <cols>
    <col min="1" max="1" width="13.1719" style="92" customWidth="1"/>
    <col min="2" max="2" width="6.67188" style="92" customWidth="1"/>
    <col min="3" max="3" width="7.67188" style="92" customWidth="1"/>
    <col min="4" max="4" width="6.5" style="92" customWidth="1"/>
    <col min="5" max="5" width="7.85156" style="92" customWidth="1"/>
    <col min="6" max="6" width="6.67188" style="92" customWidth="1"/>
    <col min="7" max="7" width="8.85156" style="92" customWidth="1"/>
    <col min="8" max="8" width="8.35156" style="92" customWidth="1"/>
    <col min="9" max="9" width="8.67188" style="92" customWidth="1"/>
    <col min="10" max="10" width="8.35156" style="92" customWidth="1"/>
    <col min="11" max="11" width="8" style="92" customWidth="1"/>
    <col min="12" max="12" width="8.67188" style="92" customWidth="1"/>
    <col min="13" max="13" width="9.85156" style="92" customWidth="1"/>
    <col min="14" max="15" width="8.85156" style="92" customWidth="1"/>
    <col min="16" max="16" width="6.85156" style="92" customWidth="1"/>
    <col min="17" max="17" width="8.35156" style="92" customWidth="1"/>
    <col min="18" max="18" width="18" style="92" customWidth="1"/>
    <col min="19" max="24" width="10.6719" style="92" customWidth="1"/>
    <col min="25" max="16384" width="10.6719" style="92" customWidth="1"/>
  </cols>
  <sheetData>
    <row r="1" ht="13.65" customHeight="1">
      <c r="A1" t="s" s="2">
        <v>0</v>
      </c>
      <c r="B1" s="3"/>
      <c r="C1" s="4"/>
      <c r="D1" s="5"/>
      <c r="E1" s="6"/>
      <c r="F1" s="7"/>
      <c r="G1" s="7"/>
      <c r="H1" s="7"/>
      <c r="I1" s="7"/>
      <c r="J1" s="7"/>
      <c r="K1" s="7"/>
      <c r="L1" s="7"/>
      <c r="M1" s="8"/>
      <c r="N1" s="8"/>
      <c r="O1" s="8"/>
      <c r="P1" s="8"/>
      <c r="Q1" s="8"/>
      <c r="R1" s="8"/>
      <c r="S1" s="8"/>
      <c r="T1" s="8"/>
      <c r="U1" s="8"/>
      <c r="V1" s="8"/>
      <c r="W1" s="8"/>
      <c r="X1" s="8"/>
    </row>
    <row r="2" ht="13.65" customHeight="1">
      <c r="A2" s="9"/>
      <c r="B2" s="10"/>
      <c r="C2" s="11"/>
      <c r="D2" s="12"/>
      <c r="E2" s="6"/>
      <c r="F2" s="7"/>
      <c r="G2" s="7"/>
      <c r="H2" s="7"/>
      <c r="I2" t="s" s="13">
        <v>1</v>
      </c>
      <c r="J2" s="7"/>
      <c r="K2" s="7"/>
      <c r="L2" s="7"/>
      <c r="M2" s="8"/>
      <c r="N2" s="8"/>
      <c r="O2" s="8"/>
      <c r="P2" s="8"/>
      <c r="Q2" s="8"/>
      <c r="R2" s="8"/>
      <c r="S2" s="8"/>
      <c r="T2" s="8"/>
      <c r="U2" s="8"/>
      <c r="V2" s="8"/>
      <c r="W2" s="8"/>
      <c r="X2" s="8"/>
    </row>
    <row r="3" ht="13.65" customHeight="1">
      <c r="A3" s="14"/>
      <c r="B3" s="15"/>
      <c r="C3" s="14"/>
      <c r="D3" s="16"/>
      <c r="E3" s="10"/>
      <c r="F3" s="7"/>
      <c r="G3" s="7"/>
      <c r="H3" s="7"/>
      <c r="I3" s="7"/>
      <c r="J3" s="7"/>
      <c r="K3" s="7"/>
      <c r="L3" s="7"/>
      <c r="M3" s="8"/>
      <c r="N3" s="8"/>
      <c r="O3" s="8"/>
      <c r="P3" s="8"/>
      <c r="Q3" s="8"/>
      <c r="R3" s="8"/>
      <c r="S3" s="8"/>
      <c r="T3" s="8"/>
      <c r="U3" s="8"/>
      <c r="V3" s="8"/>
      <c r="W3" s="8"/>
      <c r="X3" s="8"/>
    </row>
    <row r="4" ht="13.65" customHeight="1">
      <c r="A4" s="17"/>
      <c r="B4" t="s" s="18">
        <v>37</v>
      </c>
      <c r="C4" s="14"/>
      <c r="D4" s="16"/>
      <c r="E4" s="19"/>
      <c r="F4" s="6"/>
      <c r="G4" s="7"/>
      <c r="H4" s="7"/>
      <c r="I4" s="7"/>
      <c r="J4" s="7"/>
      <c r="K4" s="7"/>
      <c r="L4" s="7"/>
      <c r="M4" s="8"/>
      <c r="N4" s="8"/>
      <c r="O4" s="8"/>
      <c r="P4" s="8"/>
      <c r="Q4" s="8"/>
      <c r="R4" s="8"/>
      <c r="S4" s="8"/>
      <c r="T4" s="8"/>
      <c r="U4" s="8"/>
      <c r="V4" s="8"/>
      <c r="W4" s="8"/>
      <c r="X4" s="8"/>
    </row>
    <row r="5" ht="13.65" customHeight="1">
      <c r="A5" t="s" s="20">
        <v>3</v>
      </c>
      <c r="B5" s="21"/>
      <c r="C5" s="22">
        <v>200</v>
      </c>
      <c r="D5" s="21"/>
      <c r="E5" s="22">
        <v>400</v>
      </c>
      <c r="F5" s="6"/>
      <c r="G5" s="7"/>
      <c r="H5" s="7"/>
      <c r="I5" s="7"/>
      <c r="J5" s="7"/>
      <c r="K5" s="7"/>
      <c r="L5" s="7"/>
      <c r="M5" s="7"/>
      <c r="N5" s="7"/>
      <c r="O5" s="8"/>
      <c r="P5" s="8"/>
      <c r="Q5" s="8"/>
      <c r="R5" s="8"/>
      <c r="S5" s="8"/>
      <c r="T5" s="8"/>
      <c r="U5" s="8"/>
      <c r="V5" s="8"/>
      <c r="W5" s="8"/>
      <c r="X5" s="8"/>
    </row>
    <row r="6" ht="13.65" customHeight="1">
      <c r="A6" t="s" s="23">
        <v>4</v>
      </c>
      <c r="B6" s="24">
        <v>2</v>
      </c>
      <c r="C6" s="25">
        <v>15</v>
      </c>
      <c r="D6" s="24">
        <v>4</v>
      </c>
      <c r="E6" s="25">
        <v>41</v>
      </c>
      <c r="F6" s="6"/>
      <c r="G6" s="7"/>
      <c r="H6" s="7"/>
      <c r="I6" s="7">
        <f>57*60/(57*60+52)</f>
        <v>0.985023041474654</v>
      </c>
      <c r="J6" s="7"/>
      <c r="K6" s="7"/>
      <c r="L6" s="7"/>
      <c r="M6" s="7"/>
      <c r="N6" s="7"/>
      <c r="O6" s="8"/>
      <c r="P6" s="8"/>
      <c r="Q6" s="8"/>
      <c r="R6" s="8"/>
      <c r="S6" s="8"/>
      <c r="T6" s="8"/>
      <c r="U6" s="8"/>
      <c r="V6" s="8"/>
      <c r="W6" s="8"/>
      <c r="X6" s="8"/>
    </row>
    <row r="7" ht="13.65" customHeight="1">
      <c r="A7" s="26"/>
      <c r="B7" s="4"/>
      <c r="C7" s="27"/>
      <c r="D7" s="4"/>
      <c r="E7" s="27"/>
      <c r="F7" s="7"/>
      <c r="G7" s="7"/>
      <c r="H7" s="7"/>
      <c r="I7" s="7"/>
      <c r="J7" s="7"/>
      <c r="K7" s="7"/>
      <c r="L7" s="7"/>
      <c r="M7" s="7"/>
      <c r="N7" s="7"/>
      <c r="O7" s="8"/>
      <c r="P7" s="8"/>
      <c r="Q7" s="8"/>
      <c r="R7" s="8"/>
      <c r="S7" s="8"/>
      <c r="T7" s="8"/>
      <c r="U7" s="8"/>
      <c r="V7" s="8"/>
      <c r="W7" s="8"/>
      <c r="X7" s="8"/>
    </row>
    <row r="8" ht="13.65" customHeight="1">
      <c r="A8" s="8"/>
      <c r="B8" s="28"/>
      <c r="C8" s="29"/>
      <c r="D8" s="28"/>
      <c r="E8" s="29"/>
      <c r="F8" s="7"/>
      <c r="G8" t="s" s="13">
        <v>5</v>
      </c>
      <c r="H8" t="s" s="13">
        <v>6</v>
      </c>
      <c r="I8" t="s" s="13">
        <v>7</v>
      </c>
      <c r="J8" s="7"/>
      <c r="K8" s="7"/>
      <c r="L8" s="7"/>
      <c r="M8" s="7"/>
      <c r="N8" s="7"/>
      <c r="O8" s="8"/>
      <c r="P8" s="8"/>
      <c r="Q8" s="8"/>
      <c r="R8" s="8"/>
      <c r="S8" s="8"/>
      <c r="T8" s="8"/>
      <c r="U8" s="8"/>
      <c r="V8" s="8"/>
      <c r="W8" s="8"/>
      <c r="X8" s="8"/>
    </row>
    <row r="9" ht="11.25" customHeight="1">
      <c r="A9" s="11"/>
      <c r="B9" s="10"/>
      <c r="C9" s="10">
        <v>16</v>
      </c>
      <c r="D9" s="30">
        <v>12</v>
      </c>
      <c r="E9" s="10">
        <v>12</v>
      </c>
      <c r="F9" s="10">
        <v>8</v>
      </c>
      <c r="G9" s="10">
        <v>8</v>
      </c>
      <c r="H9" s="10">
        <v>4</v>
      </c>
      <c r="I9" s="10">
        <v>4</v>
      </c>
      <c r="J9" s="10">
        <v>2</v>
      </c>
      <c r="K9" s="10">
        <v>2</v>
      </c>
      <c r="L9" s="10">
        <v>1</v>
      </c>
      <c r="M9" s="7"/>
      <c r="N9" s="7"/>
      <c r="O9" s="8"/>
      <c r="P9" s="8"/>
      <c r="Q9" s="8"/>
      <c r="R9" s="8"/>
      <c r="S9" s="8"/>
      <c r="T9" s="8"/>
      <c r="U9" s="8"/>
      <c r="V9" s="8"/>
      <c r="W9" s="8"/>
      <c r="X9" s="8"/>
    </row>
    <row r="10" ht="13.65" customHeight="1">
      <c r="A10" t="s" s="31">
        <v>8</v>
      </c>
      <c r="B10" s="32"/>
      <c r="C10" t="s" s="33">
        <v>9</v>
      </c>
      <c r="D10" t="s" s="34">
        <v>10</v>
      </c>
      <c r="E10" t="s" s="35">
        <v>11</v>
      </c>
      <c r="F10" t="s" s="36">
        <v>10</v>
      </c>
      <c r="G10" t="s" s="33">
        <v>12</v>
      </c>
      <c r="H10" t="s" s="34">
        <v>10</v>
      </c>
      <c r="I10" t="s" s="37">
        <v>11</v>
      </c>
      <c r="J10" t="s" s="38">
        <v>13</v>
      </c>
      <c r="K10" t="s" s="33">
        <v>14</v>
      </c>
      <c r="L10" t="s" s="34">
        <v>13</v>
      </c>
      <c r="M10" s="9"/>
      <c r="N10" s="7"/>
      <c r="O10" t="s" s="13">
        <v>15</v>
      </c>
      <c r="P10" t="s" s="13">
        <v>16</v>
      </c>
      <c r="Q10" s="8"/>
      <c r="R10" s="8"/>
      <c r="S10" s="8"/>
      <c r="T10" s="8"/>
      <c r="U10" s="8"/>
      <c r="V10" s="8"/>
      <c r="W10" s="8"/>
      <c r="X10" s="8"/>
    </row>
    <row r="11" ht="13.65" customHeight="1">
      <c r="A11" t="s" s="39">
        <v>17</v>
      </c>
      <c r="B11" t="s" s="40">
        <v>18</v>
      </c>
      <c r="C11" t="s" s="41">
        <v>19</v>
      </c>
      <c r="D11" t="s" s="42">
        <v>20</v>
      </c>
      <c r="E11" s="43"/>
      <c r="F11" t="s" s="42">
        <v>21</v>
      </c>
      <c r="G11" s="43"/>
      <c r="H11" t="s" s="42">
        <v>22</v>
      </c>
      <c r="I11" s="43"/>
      <c r="J11" t="s" s="42">
        <v>23</v>
      </c>
      <c r="K11" s="43"/>
      <c r="L11" t="s" s="42">
        <v>24</v>
      </c>
      <c r="M11" s="43"/>
      <c r="N11" s="44"/>
      <c r="O11" s="8"/>
      <c r="P11" s="8"/>
      <c r="Q11" s="45"/>
      <c r="R11" s="45"/>
      <c r="S11" s="45"/>
      <c r="T11" s="45"/>
      <c r="U11" s="45"/>
      <c r="V11" s="45"/>
      <c r="W11" s="45"/>
      <c r="X11" s="45"/>
    </row>
    <row r="12" ht="13.65" customHeight="1">
      <c r="A12" t="s" s="46">
        <v>25</v>
      </c>
      <c r="B12" t="s" s="47">
        <v>26</v>
      </c>
      <c r="C12" t="s" s="48">
        <v>27</v>
      </c>
      <c r="D12" t="s" s="47">
        <v>26</v>
      </c>
      <c r="E12" t="s" s="48">
        <v>27</v>
      </c>
      <c r="F12" t="s" s="47">
        <v>26</v>
      </c>
      <c r="G12" t="s" s="48">
        <v>27</v>
      </c>
      <c r="H12" t="s" s="47">
        <v>26</v>
      </c>
      <c r="I12" t="s" s="48">
        <v>27</v>
      </c>
      <c r="J12" t="s" s="47">
        <v>26</v>
      </c>
      <c r="K12" t="s" s="48">
        <v>27</v>
      </c>
      <c r="L12" t="s" s="47">
        <v>26</v>
      </c>
      <c r="M12" t="s" s="48">
        <v>27</v>
      </c>
      <c r="N12" s="44"/>
      <c r="O12" t="s" s="13">
        <v>28</v>
      </c>
      <c r="P12" t="s" s="13">
        <v>29</v>
      </c>
      <c r="Q12" t="s" s="49">
        <v>30</v>
      </c>
      <c r="R12" t="s" s="49">
        <v>31</v>
      </c>
      <c r="S12" t="s" s="49">
        <v>15</v>
      </c>
      <c r="T12" s="50"/>
      <c r="U12" s="50"/>
      <c r="V12" s="45"/>
      <c r="W12" s="50"/>
      <c r="X12" s="50"/>
    </row>
    <row r="13" ht="13.65" customHeight="1">
      <c r="A13" s="51">
        <v>50</v>
      </c>
      <c r="B13" s="52">
        <f>TRUNC((A13/((($C$5/(($B$6*60)+$C$6)))+((($E$5/(($D$6*60)+$E$6))-($C$5/(($B$6*60)+$C$6))))*((0.75^(LOG(($A13/100),2)))-(0.75^(LOG(($C$5/100),2))))/((0.75^(LOG(($E$5/100),2)))-(0.75^(LOG(($C$5/100),2))))))/60)</f>
        <v>0</v>
      </c>
      <c r="C13" s="53">
        <f>MOD((A13/((($C$5/(($B$6*60)+$C$6)))+((($E$5/(($D$6*60)+$E$6))-($C$5/(($B$6*60)+$C$6))))*((0.75^(LOG(($A13/100),2)))-(0.75^(LOG(($C$5/100),2))))/((0.75^(LOG(($E$5/100),2)))-(0.75^(LOG(($C$5/100),2)))))),60)</f>
        <v>30.0859182234755</v>
      </c>
      <c r="D13" s="52">
        <f>TRUNC(A13/(A15/(B15*60+C15)-0.25*(A13/(B13*60+C13)-A15/(B15*60+C15)))/60)</f>
        <v>0</v>
      </c>
      <c r="E13" s="53">
        <f>MOD(A13/(A15/(B15*60+C15)-0.25*(A13/(B13*60+C13)-A15/(B15*60+C15))),60)</f>
        <v>32.6151127244937</v>
      </c>
      <c r="F13" s="52">
        <f>TRUNC((2*A13/((A15/((B15*60)+C15))+(A13/((H13*60)+I13))))/60)</f>
        <v>0</v>
      </c>
      <c r="G13" s="53">
        <f>MOD((2*A13/((A15/((B15*60)+C15))+(A13/((H13*60)+I13)))),60)</f>
        <v>33.1728527011271</v>
      </c>
      <c r="H13" s="52">
        <f>TRUNC((A13/(((A13/((B13*60)+C13))+(A13/((L13*60)+M13)))/2))/60)</f>
        <v>0</v>
      </c>
      <c r="I13" s="53">
        <f>MOD((A13/(((A13/((B13*60)+C13))+(A13/((L13*60)+M13)))/2)),60)</f>
        <v>34.3475855130785</v>
      </c>
      <c r="J13" s="52">
        <f>TRUNC((2*A13/((A13/(H13*60+I13))+(A13/(L13*60+M13))))/60)</f>
        <v>0</v>
      </c>
      <c r="K13" s="53">
        <f>MOD((2*A13/((A13/(H13*60+I13))+(A13/(L13*60+M13)))),60)</f>
        <v>36.9656777825899</v>
      </c>
      <c r="L13" s="54">
        <f>TRUNC((A13/((4*($A$17/(($B$17*60)+$C$17)))-(3*($A$15/(($B$15*60)+$C$15)))))/60)</f>
        <v>0</v>
      </c>
      <c r="M13" s="53">
        <f>MOD((A13/((4*($A$17/(($B$17*60)+$C$17)))-(3*($A$15/(($B$15*60)+$C$15))))),60)</f>
        <v>40.0158227848101</v>
      </c>
      <c r="N13" s="55"/>
      <c r="O13" s="45">
        <f>C13+B13*60</f>
        <v>30.0859182234755</v>
      </c>
      <c r="P13" s="56">
        <f>A13</f>
        <v>50</v>
      </c>
      <c r="Q13" s="57">
        <f>P13/O13</f>
        <v>1.66190706325147</v>
      </c>
      <c r="R13" s="57">
        <f>P13/(H13*60+I13)</f>
        <v>1.45570639837148</v>
      </c>
      <c r="S13" s="58">
        <v>1.89641556870234</v>
      </c>
      <c r="T13" s="59"/>
      <c r="U13" s="59"/>
      <c r="V13" s="59"/>
      <c r="W13" s="59"/>
      <c r="X13" s="59"/>
    </row>
    <row r="14" ht="13.65" customHeight="1">
      <c r="A14" s="60">
        <v>75</v>
      </c>
      <c r="B14" s="61">
        <f>TRUNC((A14/((($C$5/(($B$6*60)+$C$6)))+((($E$5/(($D$6*60)+$E$6))-($C$5/(($B$6*60)+$C$6))))*((0.75^(LOG(($A14/100),2)))-(0.75^(LOG(($C$5/100),2))))/((0.75^(LOG(($E$5/100),2)))-(0.75^(LOG(($C$5/100),2))))))/60)</f>
        <v>0</v>
      </c>
      <c r="C14" s="62">
        <f>MOD((A14/((($C$5/(($B$6*60)+$C$6)))+((($E$5/(($D$6*60)+$E$6))-($C$5/(($B$6*60)+$C$6))))*((0.75^(LOG(($A14/100),2)))-(0.75^(LOG(($C$5/100),2))))/((0.75^(LOG(($E$5/100),2)))-(0.75^(LOG(($C$5/100),2)))))),60)</f>
        <v>46.9327256728399</v>
      </c>
      <c r="D14" s="61">
        <f>TRUNC(A14/(A16/(B16*60+C16)-0.25*(A14/(B14*60+C14)-A16/(B16*60+C16)))/60)</f>
        <v>0</v>
      </c>
      <c r="E14" s="62">
        <f>MOD(A14/(A16/(B16*60+C16)-0.25*(A14/(B14*60+C14)-A16/(B16*60+C16))),60)</f>
        <v>50.3653983209144</v>
      </c>
      <c r="F14" s="61">
        <f>TRUNC((2*A14/((A16/((B16*60)+C16))+(A14/((H14*60)+I14))))/60)</f>
        <v>0</v>
      </c>
      <c r="G14" s="62">
        <f>MOD((2*A14/((A16/((B16*60)+C16))+(A14/((H14*60)+I14)))),60)</f>
        <v>51.1130833559484</v>
      </c>
      <c r="H14" s="61">
        <f>TRUNC((A14/(((A14/((B14*60)+C14))+(A14/((L14*60)+M14)))/2))/60)</f>
        <v>0</v>
      </c>
      <c r="I14" s="62">
        <f>MOD((A14/(((A14/((B14*60)+C14))+(A14/((L14*60)+M14)))/2)),60)</f>
        <v>52.677088489055</v>
      </c>
      <c r="J14" s="61">
        <f>TRUNC((2*A14/((A14/(H14*60+I14))+(A14/(L14*60+M14))))/60)</f>
        <v>0</v>
      </c>
      <c r="K14" s="62">
        <f>MOD((2*A14/((A14/(H14*60+I14))+(A14/(L14*60+M14)))),60)</f>
        <v>56.1109578775592</v>
      </c>
      <c r="L14" s="63">
        <f>TRUNC((A14/((4*($A$17/(($B$17*60)+$C$17)))-(3*($A$15/(($B$15*60)+$C$15)))))/60)</f>
        <v>1</v>
      </c>
      <c r="M14" s="62">
        <f>MOD((A14/((4*($A$17/(($B$17*60)+$C$17)))-(3*($A$15/(($B$15*60)+$C$15))))),60)</f>
        <v>0.0237341772151885</v>
      </c>
      <c r="N14" s="55"/>
      <c r="O14" s="45">
        <f>C14+B14*60</f>
        <v>46.9327256728399</v>
      </c>
      <c r="P14" s="56">
        <f>A14</f>
        <v>75</v>
      </c>
      <c r="Q14" s="57">
        <f>P14/O14</f>
        <v>1.59803205385539</v>
      </c>
      <c r="R14" s="57">
        <f>P14/(H14*60+I14)</f>
        <v>1.42376889367344</v>
      </c>
      <c r="S14" s="58">
        <v>1.8722851663349</v>
      </c>
      <c r="T14" s="59"/>
      <c r="U14" s="59"/>
      <c r="V14" s="59"/>
      <c r="W14" s="59"/>
      <c r="X14" s="59"/>
    </row>
    <row r="15" ht="13.65" customHeight="1">
      <c r="A15" s="60">
        <v>100</v>
      </c>
      <c r="B15" s="61">
        <f>TRUNC((A15/((($C$5/(($B$6*60)+$C$6)))+((($E$5/(($D$6*60)+$E$6))-($C$5/(($B$6*60)+$C$6))))*((0.75^(LOG(($A15/100),2)))-(0.75^(LOG(($C$5/100),2))))/((0.75^(LOG(($E$5/100),2)))-(0.75^(LOG(($C$5/100),2))))))/60)</f>
        <v>1</v>
      </c>
      <c r="C15" s="62">
        <f>MOD((A15/((($C$5/(($B$6*60)+$C$6)))+((($E$5/(($D$6*60)+$E$6))-($C$5/(($B$6*60)+$C$6))))*((0.75^(LOG(($A15/100),2)))-(0.75^(LOG(($C$5/100),2))))/((0.75^(LOG(($E$5/100),2)))-(0.75^(LOG(($C$5/100),2)))))),60)</f>
        <v>4.15163472378805</v>
      </c>
      <c r="D15" s="61">
        <f>TRUNC(A15/(A17/(B17*60+C17)-0.25*(A15/(B15*60+C15)-A17/(B17*60+C17)))/60)</f>
        <v>1</v>
      </c>
      <c r="E15" s="62">
        <f>MOD(A15/(A17/(B17*60+C17)-0.25*(A15/(B15*60+C15)-A17/(B17*60+C17))),60)</f>
        <v>8.39242788461538</v>
      </c>
      <c r="F15" s="61">
        <f>TRUNC((2*A15/((A17/((B17*60)+C17))+(A15/((H15*60)+I15))))/60)</f>
        <v>1</v>
      </c>
      <c r="G15" s="62">
        <f>MOD((2*A15/((A17/((B17*60)+C17))+(A15/((H15*60)+I15)))),60)</f>
        <v>9.30876979293544</v>
      </c>
      <c r="H15" s="61">
        <f>TRUNC((A15/(((A15/((B15*60)+C15))+(A15/((L15*60)+M15)))/2))/60)</f>
        <v>1</v>
      </c>
      <c r="I15" s="62">
        <f>MOD((A15/(((A15/((B15*60)+C15))+(A15/((L15*60)+M15)))/2)),60)</f>
        <v>11.2171464330413</v>
      </c>
      <c r="J15" s="61">
        <f>TRUNC((2*A15/((A15/(H15*60+I15))+(A15/(L15*60+M15))))/60)</f>
        <v>1</v>
      </c>
      <c r="K15" s="62">
        <f>MOD((2*A15/((A15/(H15*60+I15))+(A15/(L15*60+M15)))),60)</f>
        <v>15.3675496688742</v>
      </c>
      <c r="L15" s="63">
        <f>TRUNC((A15/((4*($A$17/(($B$17*60)+$C$17)))-(3*($A$15/(($B$15*60)+$C$15)))))/60)</f>
        <v>1</v>
      </c>
      <c r="M15" s="62">
        <f>MOD((A15/((4*($A$17/(($B$17*60)+$C$17)))-(3*($A$15/(($B$15*60)+$C$15))))),60)</f>
        <v>20.0316455696203</v>
      </c>
      <c r="N15" s="55"/>
      <c r="O15" s="45">
        <f>C15+B15*60</f>
        <v>64.15163472378811</v>
      </c>
      <c r="P15" s="56">
        <f>A15</f>
        <v>100</v>
      </c>
      <c r="Q15" s="57">
        <f>P15/O15</f>
        <v>1.55880673081147</v>
      </c>
      <c r="R15" s="57">
        <f>P15/(H15*60+I15)</f>
        <v>1.40415623215149</v>
      </c>
      <c r="S15" s="64">
        <v>1.8358850282651</v>
      </c>
      <c r="T15" s="59"/>
      <c r="U15" s="59"/>
      <c r="V15" s="59"/>
      <c r="W15" s="59"/>
      <c r="X15" s="59"/>
    </row>
    <row r="16" ht="13.65" customHeight="1">
      <c r="A16" s="60">
        <v>150</v>
      </c>
      <c r="B16" s="61">
        <f>TRUNC((A16/((($C$5/(($B$6*60)+$C$6)))+((($E$5/(($D$6*60)+$E$6))-($C$5/(($B$6*60)+$C$6))))*((0.75^(LOG(($A16/100),2)))-(0.75^(LOG(($C$5/100),2))))/((0.75^(LOG(($E$5/100),2)))-(0.75^(LOG(($C$5/100),2))))))/60)</f>
        <v>1</v>
      </c>
      <c r="C16" s="62">
        <f>MOD((A16/((($C$5/(($B$6*60)+$C$6)))+((($E$5/(($D$6*60)+$E$6))-($C$5/(($B$6*60)+$C$6))))*((0.75^(LOG(($A16/100),2)))-(0.75^(LOG(($C$5/100),2))))/((0.75^(LOG(($E$5/100),2)))-(0.75^(LOG(($C$5/100),2)))))),60)</f>
        <v>39.2785445531525</v>
      </c>
      <c r="D16" s="61">
        <f>TRUNC(A16/(A18/(B18*60+C18)-0.25*(A16/(B16*60+C16)-A18/(B18*60+C18)))/60)</f>
        <v>1</v>
      </c>
      <c r="E16" s="62">
        <f>MOD(A16/(A18/(B18*60+C18)-0.25*(A16/(B16*60+C16)-A18/(B18*60+C18))),60)</f>
        <v>43.5569872398137</v>
      </c>
      <c r="F16" s="61">
        <f>TRUNC((2*A16/((A18/((B18*60)+C18))+(A16/((H16*60)+I16))))/60)</f>
        <v>1</v>
      </c>
      <c r="G16" s="62">
        <f>MOD((2*A16/((A18/((B18*60)+C18))+(A16/((H16*60)+I16)))),60)</f>
        <v>45.5904712701475</v>
      </c>
      <c r="H16" s="61">
        <f>TRUNC((A16/(((A16/((B16*60)+C16))+(A16/((L16*60)+M16)))/2))/60)</f>
        <v>1</v>
      </c>
      <c r="I16" s="62">
        <f>MOD((A16/(((A16/((B16*60)+C16))+(A16/((L16*60)+M16)))/2)),60)</f>
        <v>48.6796570777987</v>
      </c>
      <c r="J16" s="61">
        <f>TRUNC((2*A16/((A16/(H16*60+I16))+(A16/(L16*60+M16))))/60)</f>
        <v>1</v>
      </c>
      <c r="K16" s="62">
        <f>MOD((2*A16/((A16/(H16*60+I16))+(A16/(L16*60+M16)))),60)</f>
        <v>54.0810707882837</v>
      </c>
      <c r="L16" s="63">
        <f>TRUNC((A16/((4*($A$17/(($B$17*60)+$C$17)))-(3*($A$15/(($B$15*60)+$C$15)))))/60)</f>
        <v>2</v>
      </c>
      <c r="M16" s="62">
        <f>MOD((A16/((4*($A$17/(($B$17*60)+$C$17)))-(3*($A$15/(($B$15*60)+$C$15))))),60)</f>
        <v>0.047468354430377</v>
      </c>
      <c r="N16" s="55"/>
      <c r="O16" s="45">
        <f>C16+B16*60</f>
        <v>99.2785445531525</v>
      </c>
      <c r="P16" s="56">
        <f>A16</f>
        <v>150</v>
      </c>
      <c r="Q16" s="57">
        <f>P16/O16</f>
        <v>1.51090047376442</v>
      </c>
      <c r="R16" s="57">
        <f>P16/(H16*60+I16)</f>
        <v>1.38020310362796</v>
      </c>
      <c r="S16" s="64">
        <v>1.81311784461359</v>
      </c>
      <c r="T16" s="59"/>
      <c r="U16" s="59"/>
      <c r="V16" s="59"/>
      <c r="W16" s="59"/>
      <c r="X16" s="59"/>
    </row>
    <row r="17" ht="13.65" customHeight="1">
      <c r="A17" s="60">
        <v>200</v>
      </c>
      <c r="B17" s="61">
        <f>TRUNC((A17/((($C$5/(($B$6*60)+$C$6)))+((($E$5/(($D$6*60)+$E$6))-($C$5/(($B$6*60)+$C$6))))*((0.75^(LOG(($A17/100),2)))-(0.75^(LOG(($C$5/100),2))))/((0.75^(LOG(($E$5/100),2)))-(0.75^(LOG(($C$5/100),2))))))/60)</f>
        <v>2</v>
      </c>
      <c r="C17" s="62">
        <f>MOD((A17/((($C$5/(($B$6*60)+$C$6)))+((($E$5/(($D$6*60)+$E$6))-($C$5/(($B$6*60)+$C$6))))*((0.75^(LOG(($A17/100),2)))-(0.75^(LOG(($C$5/100),2))))/((0.75^(LOG(($E$5/100),2)))-(0.75^(LOG(($C$5/100),2)))))),60)</f>
        <v>15</v>
      </c>
      <c r="D17" s="61">
        <f>TRUNC(A17/(A19/(B19*60+C19)-0.25*(A17/(B17*60+C17)-A19/(B19*60+C19)))/60)</f>
        <v>2</v>
      </c>
      <c r="E17" s="62">
        <f>MOD(A17/(A19/(B19*60+C19)-0.25*(A17/(B17*60+C17)-A19/(B19*60+C19))),60)</f>
        <v>19.2205658864294</v>
      </c>
      <c r="F17" s="61">
        <f>TRUNC((2*A17/((A19/((B19*60)+C19))+(A17/((H17*60)+I17))))/60)</f>
        <v>2</v>
      </c>
      <c r="G17" s="62">
        <f>MOD((2*A17/((A19/((B19*60)+C19))+(A17/((H17*60)+I17)))),60)</f>
        <v>22.2958165468224</v>
      </c>
      <c r="H17" s="61">
        <f>TRUNC((A17/(((A17/((B17*60)+C17))+(A17/((L17*60)+M17)))/2))/60)</f>
        <v>2</v>
      </c>
      <c r="I17" s="62">
        <f>MOD((A17/(((A17/((B17*60)+C17))+(A17/((L17*60)+M17)))/2)),60)</f>
        <v>26.4671814671815</v>
      </c>
      <c r="J17" s="61">
        <f>TRUNC((2*A17/((A17/(H17*60+I17))+(A17/(L17*60+M17))))/60)</f>
        <v>2</v>
      </c>
      <c r="K17" s="62">
        <f>MOD((2*A17/((A17/(H17*60+I17))+(A17/(L17*60+M17)))),60)</f>
        <v>32.9637096774194</v>
      </c>
      <c r="L17" s="63">
        <f>TRUNC((A17/((4*($A$17/(($B$17*60)+$C$17)))-(3*($A$15/(($B$15*60)+$C$15)))))/60)</f>
        <v>2</v>
      </c>
      <c r="M17" s="62">
        <f>MOD((A17/((4*($A$17/(($B$17*60)+$C$17)))-(3*($A$15/(($B$15*60)+$C$15))))),60)</f>
        <v>40.0632911392405</v>
      </c>
      <c r="N17" s="55"/>
      <c r="O17" s="45">
        <f>C17+B17*60</f>
        <v>135</v>
      </c>
      <c r="P17" s="56">
        <f>A17</f>
        <v>200</v>
      </c>
      <c r="Q17" s="57">
        <f>P17/O17</f>
        <v>1.48148148148148</v>
      </c>
      <c r="R17" s="57">
        <f>P17/(H17*60+I17)</f>
        <v>1.36549360748649</v>
      </c>
      <c r="S17" s="64">
        <v>1.79621106708489</v>
      </c>
      <c r="T17" s="59"/>
      <c r="U17" s="59"/>
      <c r="V17" s="59"/>
      <c r="W17" s="59"/>
      <c r="X17" s="59"/>
    </row>
    <row r="18" ht="13.65" customHeight="1">
      <c r="A18" s="60">
        <v>250</v>
      </c>
      <c r="B18" s="61">
        <f>TRUNC((A18/((($C$5/(($B$6*60)+$C$6)))+((($E$5/(($D$6*60)+$E$6))-($C$5/(($B$6*60)+$C$6))))*((0.75^(LOG(($A18/100),2)))-(0.75^(LOG(($C$5/100),2))))/((0.75^(LOG(($E$5/100),2)))-(0.75^(LOG(($C$5/100),2))))))/60)</f>
        <v>2</v>
      </c>
      <c r="C18" s="62">
        <f>MOD((A18/((($C$5/(($B$6*60)+$C$6)))+((($E$5/(($D$6*60)+$E$6))-($C$5/(($B$6*60)+$C$6))))*((0.75^(LOG(($A18/100),2)))-(0.75^(LOG(($C$5/100),2))))/((0.75^(LOG(($E$5/100),2)))-(0.75^(LOG(($C$5/100),2)))))),60)</f>
        <v>51.1200830820071</v>
      </c>
      <c r="D18" s="61">
        <f>TRUNC(A18/(A20/(B20*60+C20)-0.25*(A18/(B18*60+C18)-A20/(B20*60+C20)))/60)</f>
        <v>2</v>
      </c>
      <c r="E18" s="62">
        <f>MOD(A18/(A20/(B20*60+C20)-0.25*(A18/(B18*60+C18)-A20/(B20*60+C20))),60)</f>
        <v>56.7885362335055</v>
      </c>
      <c r="F18" s="61">
        <f>TRUNC((2*A18/((A20/((B20*60)+C20))+(A18/((H18*60)+I18))))/60)</f>
        <v>2</v>
      </c>
      <c r="G18" s="62">
        <f>MOD((2*A18/((A20/((B20*60)+C20))+(A18/((H18*60)+I18)))),60)</f>
        <v>59.9388617414752</v>
      </c>
      <c r="H18" s="61">
        <f>TRUNC((A18/(((A18/((B18*60)+C18))+(A18/((L18*60)+M18)))/2))/60)</f>
        <v>3</v>
      </c>
      <c r="I18" s="62">
        <f>MOD((A18/(((A18/((B18*60)+C18))+(A18/((L18*60)+M18)))/2)),60)</f>
        <v>4.46998201399218</v>
      </c>
      <c r="J18" s="61">
        <f>TRUNC((2*A18/((A18/(H18*60+I18))+(A18/(L18*60+M18))))/60)</f>
        <v>3</v>
      </c>
      <c r="K18" s="62">
        <f>MOD((2*A18/((A18/(H18*60+I18))+(A18/(L18*60+M18)))),60)</f>
        <v>11.9577548708719</v>
      </c>
      <c r="L18" s="63">
        <f>TRUNC((A18/((4*($A$17/(($B$17*60)+$C$17)))-(3*($A$15/(($B$15*60)+$C$15)))))/60)</f>
        <v>3</v>
      </c>
      <c r="M18" s="62">
        <f>MOD((A18/((4*($A$17/(($B$17*60)+$C$17)))-(3*($A$15/(($B$15*60)+$C$15))))),60)</f>
        <v>20.0791139240506</v>
      </c>
      <c r="N18" s="55"/>
      <c r="O18" s="45">
        <f>C18+B18*60</f>
        <v>171.120083082007</v>
      </c>
      <c r="P18" s="56">
        <f>A18</f>
        <v>250</v>
      </c>
      <c r="Q18" s="57">
        <f>P18/O18</f>
        <v>1.46096235752872</v>
      </c>
      <c r="R18" s="57">
        <f>P18/(H18*60+I18)</f>
        <v>1.35523404551011</v>
      </c>
      <c r="S18" s="64">
        <v>1.78267321949954</v>
      </c>
      <c r="T18" s="59"/>
      <c r="U18" s="59"/>
      <c r="V18" s="59"/>
      <c r="W18" s="59"/>
      <c r="X18" s="59"/>
    </row>
    <row r="19" ht="13.65" customHeight="1">
      <c r="A19" s="60">
        <v>300</v>
      </c>
      <c r="B19" s="61">
        <f>TRUNC((A19/((($C$5/(($B$6*60)+$C$6)))+((($E$5/(($D$6*60)+$E$6))-($C$5/(($B$6*60)+$C$6))))*((0.75^(LOG(($A19/100),2)))-(0.75^(LOG(($C$5/100),2))))/((0.75^(LOG(($E$5/100),2)))-(0.75^(LOG(($C$5/100),2))))))/60)</f>
        <v>3</v>
      </c>
      <c r="C19" s="62">
        <f>MOD((A19/((($C$5/(($B$6*60)+$C$6)))+((($E$5/(($D$6*60)+$E$6))-($C$5/(($B$6*60)+$C$6))))*((0.75^(LOG(($A19/100),2)))-(0.75^(LOG(($C$5/100),2))))/((0.75^(LOG(($E$5/100),2)))-(0.75^(LOG(($C$5/100),2)))))),60)</f>
        <v>27.5332079735339</v>
      </c>
      <c r="D19" s="61">
        <f>TRUNC(A19/(A21/(B21*60+C21)-0.25*(A19/(B19*60+C19)-A21/(B21*60+C21)))/60)</f>
        <v>3</v>
      </c>
      <c r="E19" s="62">
        <f>MOD(A19/(A21/(B21*60+C21)-0.25*(A19/(B19*60+C19)-A21/(B21*60+C21))),60)</f>
        <v>34.4795417877186</v>
      </c>
      <c r="F19" s="61">
        <f>TRUNC((2*A19/((A21/((B21*60)+C21))+(A19/((H19*60)+I19))))/60)</f>
        <v>3</v>
      </c>
      <c r="G19" s="62">
        <f>MOD((2*A19/((A21/((B21*60)+C21))+(A19/((H19*60)+I19)))),60)</f>
        <v>37.7362930978867</v>
      </c>
      <c r="H19" s="61">
        <f>TRUNC((A19/(((A19/((B19*60)+C19))+(A19/((L19*60)+M19)))/2))/60)</f>
        <v>3</v>
      </c>
      <c r="I19" s="62">
        <f>MOD((A19/(((A19/((B19*60)+C19))+(A19/((L19*60)+M19)))/2)),60)</f>
        <v>42.6297565303748</v>
      </c>
      <c r="J19" s="61">
        <f>TRUNC((2*A19/((A19/(H19*60+I19))+(A19/(L19*60+M19))))/60)</f>
        <v>3</v>
      </c>
      <c r="K19" s="62">
        <f>MOD((2*A19/((A19/(H19*60+I19))+(A19/(L19*60+M19)))),60)</f>
        <v>51.032741864216</v>
      </c>
      <c r="L19" s="63">
        <f>TRUNC((A19/((4*($A$17/(($B$17*60)+$C$17)))-(3*($A$15/(($B$15*60)+$C$15)))))/60)</f>
        <v>4</v>
      </c>
      <c r="M19" s="62">
        <f>MOD((A19/((4*($A$17/(($B$17*60)+$C$17)))-(3*($A$15/(($B$15*60)+$C$15))))),60)</f>
        <v>0.094936708860754</v>
      </c>
      <c r="N19" s="55"/>
      <c r="O19" s="45">
        <f>C19+B19*60</f>
        <v>207.533207973534</v>
      </c>
      <c r="P19" s="56">
        <f>A19</f>
        <v>300</v>
      </c>
      <c r="Q19" s="57">
        <f>P19/O19</f>
        <v>1.44555178869619</v>
      </c>
      <c r="R19" s="57">
        <f>P19/(H19*60+I19)</f>
        <v>1.34752876109384</v>
      </c>
      <c r="S19" s="64">
        <v>1.76329142014859</v>
      </c>
      <c r="T19" s="59"/>
      <c r="U19" s="59"/>
      <c r="V19" s="59"/>
      <c r="W19" s="59"/>
      <c r="X19" s="59"/>
    </row>
    <row r="20" ht="13.65" customHeight="1">
      <c r="A20" s="60">
        <v>400</v>
      </c>
      <c r="B20" s="65">
        <f>TRUNC((A20/((($C$5/(($B$6*60)+$C$6)))+((($E$5/(($D$6*60)+$E$6))-($C$5/(($B$6*60)+$C$6))))*((0.75^(LOG(($A20/100),2)))-(0.75^(LOG(($C$5/100),2))))/((0.75^(LOG(($E$5/100),2)))-(0.75^(LOG(($C$5/100),2))))))/60)</f>
        <v>4</v>
      </c>
      <c r="C20" s="62">
        <f>MOD((A20/((($C$5/(($B$6*60)+$C$6)))+((($E$5/(($D$6*60)+$E$6))-($C$5/(($B$6*60)+$C$6))))*((0.75^(LOG(($A20/100),2)))-(0.75^(LOG(($C$5/100),2))))/((0.75^(LOG(($E$5/100),2)))-(0.75^(LOG(($C$5/100),2)))))),60)</f>
        <v>41</v>
      </c>
      <c r="D20" s="61">
        <f>TRUNC(A20/(A22/(B22*60+C22)-0.25*(A20/(B20*60+C20)-A22/(B22*60+C22)))/60)</f>
        <v>4</v>
      </c>
      <c r="E20" s="62">
        <f>MOD(A20/(A22/(B22*60+C22)-0.25*(A20/(B20*60+C20)-A22/(B22*60+C22))),60)</f>
        <v>47.8104798502711</v>
      </c>
      <c r="F20" s="61">
        <f>TRUNC((2*A20/((A22/((B22*60)+C22))+(A20/((H20*60)+I20))))/60)</f>
        <v>4</v>
      </c>
      <c r="G20" s="62">
        <f>MOD((2*A20/((A22/((B22*60)+C22))+(A20/((H20*60)+I20)))),60)</f>
        <v>52.7146706055499</v>
      </c>
      <c r="H20" s="61">
        <f>TRUNC((A20/(((A20/((B20*60)+C20))+(A20/((L20*60)+M20)))/2))/60)</f>
        <v>4</v>
      </c>
      <c r="I20" s="62">
        <f>MOD((A20/(((A20/((B20*60)+C20))+(A20/((L20*60)+M20)))/2)),60)</f>
        <v>59.2899408284024</v>
      </c>
      <c r="J20" s="61">
        <f>TRUNC((2*A20/((A20/(H20*60+I20))+(A20/(L20*60+M20))))/60)</f>
        <v>5</v>
      </c>
      <c r="K20" s="62">
        <f>MOD((2*A20/((A20/(H20*60+I20))+(A20/(L20*60+M20)))),60)</f>
        <v>9.357798165137631</v>
      </c>
      <c r="L20" s="63">
        <f>TRUNC((A20/((4*($A$17/(($B$17*60)+$C$17)))-(3*($A$15/(($B$15*60)+$C$15)))))/60)</f>
        <v>5</v>
      </c>
      <c r="M20" s="62">
        <f>MOD((A20/((4*($A$17/(($B$17*60)+$C$17)))-(3*($A$15/(($B$15*60)+$C$15))))),60)</f>
        <v>20.126582278481</v>
      </c>
      <c r="N20" s="55"/>
      <c r="O20" s="45">
        <f>C20+B20*60</f>
        <v>281</v>
      </c>
      <c r="P20" s="56">
        <f>A20</f>
        <v>400</v>
      </c>
      <c r="Q20" s="57">
        <f>P20/O20</f>
        <v>1.42348754448399</v>
      </c>
      <c r="R20" s="57">
        <f>P20/(H20*60+I20)</f>
        <v>1.33649663898774</v>
      </c>
      <c r="S20" s="64">
        <v>1.74727646667667</v>
      </c>
      <c r="T20" s="59"/>
      <c r="U20" s="59"/>
      <c r="V20" s="59"/>
      <c r="W20" s="59"/>
      <c r="X20" s="59"/>
    </row>
    <row r="21" ht="13.65" customHeight="1">
      <c r="A21" s="60">
        <v>500</v>
      </c>
      <c r="B21" s="65">
        <f>TRUNC((A21/((($C$5/(($B$6*60)+$C$6)))+((($E$5/(($D$6*60)+$E$6))-($C$5/(($B$6*60)+$C$6))))*((0.75^(LOG(($A21/100),2)))-(0.75^(LOG(($C$5/100),2))))/((0.75^(LOG(($E$5/100),2)))-(0.75^(LOG(($C$5/100),2))))))/60)</f>
        <v>5</v>
      </c>
      <c r="C21" s="62">
        <f>MOD((A21/((($C$5/(($B$6*60)+$C$6)))+((($E$5/(($D$6*60)+$E$6))-($C$5/(($B$6*60)+$C$6))))*((0.75^(LOG(($A21/100),2)))-(0.75^(LOG(($C$5/100),2))))/((0.75^(LOG(($E$5/100),2)))-(0.75^(LOG(($C$5/100),2)))))),60)</f>
        <v>55.0888705492785</v>
      </c>
      <c r="D21" s="61">
        <f>TRUNC(A21/(A23/(B23*60+C23)-0.25*(A21/(B21*60+C21)-A23/(B23*60+C23)))/60)</f>
        <v>6</v>
      </c>
      <c r="E21" s="62">
        <f>MOD(A21/(A23/(B23*60+C23)-0.25*(A21/(B21*60+C21)-A23/(B23*60+C23))),60)</f>
        <v>4.17519346785161</v>
      </c>
      <c r="F21" s="61">
        <f>TRUNC((2*A21/((A23/((B23*60)+C23))+(A21/((H21*60)+I21))))/60)</f>
        <v>6</v>
      </c>
      <c r="G21" s="62">
        <f>MOD((2*A21/((A23/((B23*60)+C23))+(A21/((H21*60)+I21)))),60)</f>
        <v>9.167968524000621</v>
      </c>
      <c r="H21" s="61">
        <f>TRUNC((A21/(((A21/((B21*60)+C21))+(A21/((L21*60)+M21)))/2))/60)</f>
        <v>6</v>
      </c>
      <c r="I21" s="62">
        <f>MOD((A21/(((A21/((B21*60)+C21))+(A21/((L21*60)+M21)))/2)),60)</f>
        <v>16.2787926470665</v>
      </c>
      <c r="J21" s="61">
        <f>TRUNC((2*A21/((A21/(H21*60+I21))+(A21/(L21*60+M21))))/60)</f>
        <v>6</v>
      </c>
      <c r="K21" s="62">
        <f>MOD((2*A21/((A21/(H21*60+I21))+(A21/(L21*60+M21)))),60)</f>
        <v>27.851302469961</v>
      </c>
      <c r="L21" s="63">
        <f>TRUNC((A21/((4*($A$17/(($B$17*60)+$C$17)))-(3*($A$15/(($B$15*60)+$C$15)))))/60)</f>
        <v>6</v>
      </c>
      <c r="M21" s="62">
        <f>MOD((A21/((4*($A$17/(($B$17*60)+$C$17)))-(3*($A$15/(($B$15*60)+$C$15))))),60)</f>
        <v>40.1582278481013</v>
      </c>
      <c r="N21" s="55"/>
      <c r="O21" s="45">
        <f>C21+B21*60</f>
        <v>355.088870549279</v>
      </c>
      <c r="P21" s="56">
        <f>A21</f>
        <v>500</v>
      </c>
      <c r="Q21" s="57">
        <f>P21/O21</f>
        <v>1.40809820151941</v>
      </c>
      <c r="R21" s="57">
        <f>P21/(H21*60+I21)</f>
        <v>1.32880196750546</v>
      </c>
      <c r="S21" s="64">
        <v>1.73483362044594</v>
      </c>
      <c r="T21" s="59"/>
      <c r="U21" s="59"/>
      <c r="V21" s="59"/>
      <c r="W21" s="59"/>
      <c r="X21" s="59"/>
    </row>
    <row r="22" ht="13.65" customHeight="1">
      <c r="A22" s="60">
        <v>600</v>
      </c>
      <c r="B22" s="65">
        <f>TRUNC((A22/((($C$5/(($B$6*60)+$C$6)))+((($E$5/(($D$6*60)+$E$6))-($C$5/(($B$6*60)+$C$6))))*((0.75^(LOG(($A22/100),2)))-(0.75^(LOG(($C$5/100),2))))/((0.75^(LOG(($E$5/100),2)))-(0.75^(LOG(($C$5/100),2))))))/60)</f>
        <v>7</v>
      </c>
      <c r="C22" s="62">
        <f>MOD((A22/((($C$5/(($B$6*60)+$C$6)))+((($E$5/(($D$6*60)+$E$6))-($C$5/(($B$6*60)+$C$6))))*((0.75^(LOG(($A22/100),2)))-(0.75^(LOG(($C$5/100),2))))/((0.75^(LOG(($E$5/100),2)))-(0.75^(LOG(($C$5/100),2)))))),60)</f>
        <v>9.63315185815509</v>
      </c>
      <c r="D22" s="61">
        <f>TRUNC(A22/(A24/(B24*60+C24)-0.25*(A22/(B22*60+C22)-A24/(B24*60+C24)))/60)</f>
        <v>7</v>
      </c>
      <c r="E22" s="62">
        <f>MOD(A22/(A24/(B24*60+C24)-0.25*(A22/(B22*60+C22)-A24/(B24*60+C24))),60)</f>
        <v>18.5729703604085</v>
      </c>
      <c r="F22" s="61">
        <f>TRUNC((2*A22/((A24/((B24*60)+C24))+(A22/((H22*60)+I22))))/60)</f>
        <v>7</v>
      </c>
      <c r="G22" s="62">
        <f>MOD((2*A22/((A24/((B24*60)+C24))+(A22/((H22*60)+I22)))),60)</f>
        <v>24.9735093208875</v>
      </c>
      <c r="H22" s="61">
        <f>TRUNC((A22/(((A22/((B22*60)+C22))+(A22/((L22*60)+M22)))/2))/60)</f>
        <v>7</v>
      </c>
      <c r="I22" s="62">
        <f>MOD((A22/(((A22/((B22*60)+C22))+(A22/((L22*60)+M22)))/2)),60)</f>
        <v>33.5068536966697</v>
      </c>
      <c r="J22" s="61">
        <f>TRUNC((2*A22/((A22/(H22*60+I22))+(A22/(L22*60+M22))))/60)</f>
        <v>7</v>
      </c>
      <c r="K22" s="62">
        <f>MOD((2*A22/((A22/(H22*60+I22))+(A22/(L22*60+M22)))),60)</f>
        <v>46.4670922510219</v>
      </c>
      <c r="L22" s="63">
        <f>TRUNC((A22/((4*($A$17/(($B$17*60)+$C$17)))-(3*($A$15/(($B$15*60)+$C$15)))))/60)</f>
        <v>8</v>
      </c>
      <c r="M22" s="62">
        <f>MOD((A22/((4*($A$17/(($B$17*60)+$C$17)))-(3*($A$15/(($B$15*60)+$C$15))))),60)</f>
        <v>0.189873417721508</v>
      </c>
      <c r="N22" s="55"/>
      <c r="O22" s="45">
        <f>C22+B22*60</f>
        <v>429.633151858155</v>
      </c>
      <c r="P22" s="56">
        <f>A22</f>
        <v>600</v>
      </c>
      <c r="Q22" s="57">
        <f>P22/O22</f>
        <v>1.39654027489502</v>
      </c>
      <c r="R22" s="57">
        <f>P22/(H22*60+I22)</f>
        <v>1.32302300419326</v>
      </c>
      <c r="S22" s="64">
        <v>1.71871355714563</v>
      </c>
      <c r="T22" s="59"/>
      <c r="U22" s="59"/>
      <c r="V22" s="59"/>
      <c r="W22" s="59"/>
      <c r="X22" s="59"/>
    </row>
    <row r="23" ht="13.65" customHeight="1">
      <c r="A23" s="60">
        <v>800</v>
      </c>
      <c r="B23" s="65">
        <f>TRUNC((A23/((($C$5/(($B$6*60)+$C$6)))+((($E$5/(($D$6*60)+$E$6))-($C$5/(($B$6*60)+$C$6))))*((0.75^(LOG(($A23/100),2)))-(0.75^(LOG(($C$5/100),2))))/((0.75^(LOG(($E$5/100),2)))-(0.75^(LOG(($C$5/100),2))))))/60)</f>
        <v>9</v>
      </c>
      <c r="C23" s="62">
        <f>MOD((A23/((($C$5/(($B$6*60)+$C$6)))+((($E$5/(($D$6*60)+$E$6))-($C$5/(($B$6*60)+$C$6))))*((0.75^(LOG(($A23/100),2)))-(0.75^(LOG(($C$5/100),2))))/((0.75^(LOG(($E$5/100),2)))-(0.75^(LOG(($C$5/100),2)))))),60)</f>
        <v>39.7134670487106</v>
      </c>
      <c r="D23" s="61">
        <f>TRUNC(A23/(A25/(B25*60+C25)-0.25*(A23/(B23*60+C23)-A25/(B25*60+C25)))/60)</f>
        <v>9</v>
      </c>
      <c r="E23" s="62">
        <f>MOD(A23/(A25/(B25*60+C25)-0.25*(A23/(B23*60+C23)-A25/(B25*60+C25))),60)</f>
        <v>45.8382753413109</v>
      </c>
      <c r="F23" s="61">
        <f>TRUNC((2*A23/((A25/((B25*60)+C25))+(A23/((H23*60)+I23))))/60)</f>
        <v>9</v>
      </c>
      <c r="G23" s="62">
        <f>MOD((2*A23/((A25/((B25*60)+C25))+(A23/((H23*60)+I23)))),60)</f>
        <v>56.3031447588138</v>
      </c>
      <c r="H23" s="61">
        <f>TRUNC((A23/(((A23/((B23*60)+C23))+(A23/((L23*60)+M23)))/2))/60)</f>
        <v>10</v>
      </c>
      <c r="I23" s="62">
        <f>MOD((A23/(((A23/((B23*60)+C23))+(A23/((L23*60)+M23)))/2)),60)</f>
        <v>8.481203007518779</v>
      </c>
      <c r="J23" s="61">
        <f>TRUNC((2*A23/((A23/(H23*60+I23))+(A23/(L23*60+M23))))/60)</f>
        <v>10</v>
      </c>
      <c r="K23" s="62">
        <f>MOD((2*A23/((A23/(H23*60+I23))+(A23/(L23*60+M23)))),60)</f>
        <v>23.9629915188897</v>
      </c>
      <c r="L23" s="63">
        <f>TRUNC((A23/((4*($A$17/(($B$17*60)+$C$17)))-(3*($A$15/(($B$15*60)+$C$15)))))/60)</f>
        <v>10</v>
      </c>
      <c r="M23" s="62">
        <f>MOD((A23/((4*($A$17/(($B$17*60)+$C$17)))-(3*($A$15/(($B$15*60)+$C$15))))),60)</f>
        <v>40.253164556962</v>
      </c>
      <c r="N23" s="55"/>
      <c r="O23" s="45">
        <f>C23+B23*60</f>
        <v>579.713467048711</v>
      </c>
      <c r="P23" s="56">
        <f>A23</f>
        <v>800</v>
      </c>
      <c r="Q23" s="57">
        <f>P23/O23</f>
        <v>1.37999209173586</v>
      </c>
      <c r="R23" s="57">
        <f>P23/(H23*60+I23)</f>
        <v>1.31474891261368</v>
      </c>
      <c r="S23" s="64">
        <v>1.70966063422131</v>
      </c>
      <c r="T23" s="59"/>
      <c r="U23" s="59"/>
      <c r="V23" s="59"/>
      <c r="W23" s="59"/>
      <c r="X23" s="59"/>
    </row>
    <row r="24" ht="13.65" customHeight="1">
      <c r="A24" s="60">
        <v>900</v>
      </c>
      <c r="B24" s="65">
        <f>TRUNC((A24/((($C$5/(($B$6*60)+$C$6)))+((($E$5/(($D$6*60)+$E$6))-($C$5/(($B$6*60)+$C$6))))*((0.75^(LOG(($A24/100),2)))-(0.75^(LOG(($C$5/100),2))))/((0.75^(LOG(($E$5/100),2)))-(0.75^(LOG(($C$5/100),2))))))/60)</f>
        <v>10</v>
      </c>
      <c r="C24" s="62">
        <f>MOD((A24/((($C$5/(($B$6*60)+$C$6)))+((($E$5/(($D$6*60)+$E$6))-($C$5/(($B$6*60)+$C$6))))*((0.75^(LOG(($A24/100),2)))-(0.75^(LOG(($C$5/100),2))))/((0.75^(LOG(($E$5/100),2)))-(0.75^(LOG(($C$5/100),2)))))),60)</f>
        <v>55.1330502162422</v>
      </c>
      <c r="D24" s="61">
        <f>TRUNC(A24/(A26/(B26*60+C26)-0.25*(A24/(B24*60+C24)-A26/(B26*60+C26)))/60)</f>
        <v>11</v>
      </c>
      <c r="E24" s="62">
        <f>MOD(A24/(A26/(B26*60+C26)-0.25*(A24/(B24*60+C24)-A26/(B26*60+C26))),60)</f>
        <v>3.57716816465913</v>
      </c>
      <c r="F24" s="61">
        <f>TRUNC((2*A24/((A26/((B26*60)+C26))+(A24/((H24*60)+I24))))/60)</f>
        <v>11</v>
      </c>
      <c r="G24" s="62">
        <f>MOD((2*A24/((A26/((B26*60)+C26))+(A24/((H24*60)+I24)))),60)</f>
        <v>13.7994879912743</v>
      </c>
      <c r="H24" s="61">
        <f>TRUNC((A24/(((A24/((B24*60)+C24))+(A24/((L24*60)+M24)))/2))/60)</f>
        <v>11</v>
      </c>
      <c r="I24" s="62">
        <f>MOD((A24/(((A24/((B24*60)+C24))+(A24/((L24*60)+M24)))/2)),60)</f>
        <v>26.1658529939948</v>
      </c>
      <c r="J24" s="61">
        <f>TRUNC((2*A24/((A24/(H24*60+I24))+(A24/(L24*60+M24))))/60)</f>
        <v>11</v>
      </c>
      <c r="K24" s="62">
        <f>MOD((2*A24/((A24/(H24*60+I24))+(A24/(L24*60+M24)))),60)</f>
        <v>42.8114872405623</v>
      </c>
      <c r="L24" s="63">
        <f>TRUNC((A24/((4*($A$17/(($B$17*60)+$C$17)))-(3*($A$15/(($B$15*60)+$C$15)))))/60)</f>
        <v>12</v>
      </c>
      <c r="M24" s="62">
        <f>MOD((A24/((4*($A$17/(($B$17*60)+$C$17)))-(3*($A$15/(($B$15*60)+$C$15))))),60)</f>
        <v>0.284810126582262</v>
      </c>
      <c r="N24" s="55"/>
      <c r="O24" s="45">
        <f>C24+B24*60</f>
        <v>655.1330502162421</v>
      </c>
      <c r="P24" s="56">
        <f>A24</f>
        <v>900</v>
      </c>
      <c r="Q24" s="57">
        <f>P24/O24</f>
        <v>1.37376674814823</v>
      </c>
      <c r="R24" s="57">
        <f>P24/(H24*60+I24)</f>
        <v>1.31163624081987</v>
      </c>
      <c r="S24" s="64">
        <v>1.70309054840021</v>
      </c>
      <c r="T24" s="59"/>
      <c r="U24" s="59"/>
      <c r="V24" s="59"/>
      <c r="W24" s="59"/>
      <c r="X24" s="59"/>
    </row>
    <row r="25" ht="13.65" customHeight="1">
      <c r="A25" s="60">
        <v>1000</v>
      </c>
      <c r="B25" s="65">
        <f>TRUNC((A25/((($C$5/(($B$6*60)+$C$6)))+((($E$5/(($D$6*60)+$E$6))-($C$5/(($B$6*60)+$C$6))))*((0.75^(LOG(($A25/100),2)))-(0.75^(LOG(($C$5/100),2))))/((0.75^(LOG(($E$5/100),2)))-(0.75^(LOG(($C$5/100),2))))))/60)</f>
        <v>12</v>
      </c>
      <c r="C25" s="62">
        <f>MOD((A25/((($C$5/(($B$6*60)+$C$6)))+((($E$5/(($D$6*60)+$E$6))-($C$5/(($B$6*60)+$C$6))))*((0.75^(LOG(($A25/100),2)))-(0.75^(LOG(($C$5/100),2))))/((0.75^(LOG(($E$5/100),2)))-(0.75^(LOG(($C$5/100),2)))))),60)</f>
        <v>10.753727386621</v>
      </c>
      <c r="D25" s="61">
        <f>TRUNC(A25/(A27/(B27*60+C27)-0.25*(A25/(B25*60+C25)-A27/(B27*60+C27)))/60)</f>
        <v>12</v>
      </c>
      <c r="E25" s="62">
        <f>MOD(A25/(A27/(B27*60+C27)-0.25*(A25/(B25*60+C25)-A27/(B27*60+C27))),60)</f>
        <v>23.2614254069628</v>
      </c>
      <c r="F25" s="61">
        <f>TRUNC((2*A25/((A27/((B27*60)+C27))+(A25/((H25*60)+I25))))/60)</f>
        <v>12</v>
      </c>
      <c r="G25" s="62">
        <f>MOD((2*A25/((A27/((B27*60)+C27))+(A25/((H25*60)+I25)))),60)</f>
        <v>32.1609872302135</v>
      </c>
      <c r="H25" s="61">
        <f>TRUNC((A25/(((A25/((B25*60)+C25))+(A25/((L25*60)+M25)))/2))/60)</f>
        <v>12</v>
      </c>
      <c r="I25" s="62">
        <f>MOD((A25/(((A25/((B25*60)+C25))+(A25/((L25*60)+M25)))/2)),60)</f>
        <v>43.9548330975665</v>
      </c>
      <c r="J25" s="61">
        <f>TRUNC((2*A25/((A25/(H25*60+I25))+(A25/(L25*60+M25))))/60)</f>
        <v>13</v>
      </c>
      <c r="K25" s="62">
        <f>MOD((2*A25/((A25/(H25*60+I25))+(A25/(L25*60+M25)))),60)</f>
        <v>1.71302985186361</v>
      </c>
      <c r="L25" s="63">
        <f>TRUNC((A25/((4*($A$17/(($B$17*60)+$C$17)))-(3*($A$15/(($B$15*60)+$C$15)))))/60)</f>
        <v>13</v>
      </c>
      <c r="M25" s="62">
        <f>MOD((A25/((4*($A$17/(($B$17*60)+$C$17)))-(3*($A$15/(($B$15*60)+$C$15))))),60)</f>
        <v>20.3164556962025</v>
      </c>
      <c r="N25" s="55"/>
      <c r="O25" s="45">
        <f>C25+B25*60</f>
        <v>730.753727386621</v>
      </c>
      <c r="P25" s="56">
        <f>A25</f>
        <v>1000</v>
      </c>
      <c r="Q25" s="57">
        <f>P25/O25</f>
        <v>1.36845008451244</v>
      </c>
      <c r="R25" s="57">
        <f>P25/(H25*60+I25)</f>
        <v>1.30897790900197</v>
      </c>
      <c r="S25" s="64">
        <v>1.69520895592936</v>
      </c>
      <c r="T25" s="59"/>
      <c r="U25" s="59"/>
      <c r="V25" s="59"/>
      <c r="W25" s="59"/>
      <c r="X25" s="59"/>
    </row>
    <row r="26" ht="13.65" customHeight="1">
      <c r="A26" s="66">
        <v>1200</v>
      </c>
      <c r="B26" s="65">
        <f>TRUNC((A26/((($C$5/(($B$6*60)+$C$6)))+((($E$5/(($D$6*60)+$E$6))-($C$5/(($B$6*60)+$C$6))))*((0.75^(LOG(($A26/100),2)))-(0.75^(LOG(($C$5/100),2))))/((0.75^(LOG(($E$5/100),2)))-(0.75^(LOG(($C$5/100),2))))))/60)</f>
        <v>14</v>
      </c>
      <c r="C26" s="62">
        <f>MOD((A26/((($C$5/(($B$6*60)+$C$6)))+((($E$5/(($D$6*60)+$E$6))-($C$5/(($B$6*60)+$C$6))))*((0.75^(LOG(($A26/100),2)))-(0.75^(LOG(($C$5/100),2))))/((0.75^(LOG(($E$5/100),2)))-(0.75^(LOG(($C$5/100),2)))))),60)</f>
        <v>42.4946337724468</v>
      </c>
      <c r="D26" s="61">
        <f>TRUNC(A26/(A28/(B28*60+C28)-0.25*(A26/(B26*60+C26)-A28/(B28*60+C28)))/60)</f>
        <v>14</v>
      </c>
      <c r="E26" s="62">
        <f>MOD(A26/(A28/(B28*60+C28)-0.25*(A26/(B26*60+C26)-A28/(B28*60+C28))),60)</f>
        <v>52.6793257632813</v>
      </c>
      <c r="F26" s="61">
        <f>TRUNC((2*A26/((A28/((B28*60)+C28))+(A26/((H26*60)+I26))))/60)</f>
        <v>15</v>
      </c>
      <c r="G26" s="62">
        <f>MOD((2*A26/((A28/((B28*60)+C28))+(A26/((H26*60)+I26)))),60)</f>
        <v>4.97253379446282</v>
      </c>
      <c r="H26" s="61">
        <f>TRUNC((A26/(((A26/((B26*60)+C26))+(A26/((L26*60)+M26)))/2))/60)</f>
        <v>15</v>
      </c>
      <c r="I26" s="62">
        <f>MOD((A26/(((A26/((B26*60)+C26))+(A26/((L26*60)+M26)))/2)),60)</f>
        <v>19.7913670995345</v>
      </c>
      <c r="J26" s="61">
        <f>TRUNC((2*A26/((A26/(H26*60+I26))+(A26/(L26*60+M26))))/60)</f>
        <v>15</v>
      </c>
      <c r="K26" s="62">
        <f>MOD((2*A26/((A26/(H26*60+I26))+(A26/(L26*60+M26)))),60)</f>
        <v>39.647454138077</v>
      </c>
      <c r="L26" s="63">
        <f>TRUNC((A26/((4*($A$17/(($B$17*60)+$C$17)))-(3*($A$15/(($B$15*60)+$C$15)))))/60)</f>
        <v>16</v>
      </c>
      <c r="M26" s="62">
        <f>MOD((A26/((4*($A$17/(($B$17*60)+$C$17)))-(3*($A$15/(($B$15*60)+$C$15))))),60)</f>
        <v>0.379746835443016</v>
      </c>
      <c r="N26" s="55"/>
      <c r="O26" s="45">
        <f>C26+B26*60</f>
        <v>882.4946337724469</v>
      </c>
      <c r="P26" s="56">
        <f>A26</f>
        <v>1200</v>
      </c>
      <c r="Q26" s="57">
        <f>P26/O26</f>
        <v>1.35978163954414</v>
      </c>
      <c r="R26" s="57">
        <f>P26/(H26*60+I26)</f>
        <v>1.30464368651782</v>
      </c>
      <c r="S26" s="64">
        <v>1.68543792677448</v>
      </c>
      <c r="T26" s="59"/>
      <c r="U26" s="59"/>
      <c r="V26" s="59"/>
      <c r="W26" s="59"/>
      <c r="X26" s="59"/>
    </row>
    <row r="27" ht="13.65" customHeight="1">
      <c r="A27" s="60">
        <v>1500</v>
      </c>
      <c r="B27" s="65">
        <f>TRUNC((A27/((($C$5/(($B$6*60)+$C$6)))+((($E$5/(($D$6*60)+$E$6))-($C$5/(($B$6*60)+$C$6))))*((0.75^(LOG(($A27/100),2)))-(0.75^(LOG(($C$5/100),2))))/((0.75^(LOG(($E$5/100),2)))-(0.75^(LOG(($C$5/100),2))))))/60)</f>
        <v>18</v>
      </c>
      <c r="C27" s="62">
        <f>MOD((A27/((($C$5/(($B$6*60)+$C$6)))+((($E$5/(($D$6*60)+$E$6))-($C$5/(($B$6*60)+$C$6))))*((0.75^(LOG(($A27/100),2)))-(0.75^(LOG(($C$5/100),2))))/((0.75^(LOG(($E$5/100),2)))-(0.75^(LOG(($C$5/100),2)))))),60)</f>
        <v>31.0886238865455</v>
      </c>
      <c r="D27" s="61">
        <f>TRUNC(A27/(A29/(B29*60+C29)-0.25*(A27/(B27*60+C27)-A29/(B29*60+C29)))/60)</f>
        <v>18</v>
      </c>
      <c r="E27" s="62">
        <f>MOD(A27/(A29/(B29*60+C29)-0.25*(A27/(B27*60+C27)-A29/(B29*60+C29))),60)</f>
        <v>42.8505844080974</v>
      </c>
      <c r="F27" s="61">
        <f>TRUNC((2*A27/((A29/((B29*60)+C29))+(A27/((H27*60)+I27))))/60)</f>
        <v>18</v>
      </c>
      <c r="G27" s="62">
        <f>MOD((2*A27/((A29/((B29*60)+C29))+(A27/((H27*60)+I27)))),60)</f>
        <v>57.0180571120114</v>
      </c>
      <c r="H27" s="61">
        <f>TRUNC((A27/(((A27/((B27*60)+C27))+(A27/((L27*60)+M27)))/2))/60)</f>
        <v>19</v>
      </c>
      <c r="I27" s="62">
        <f>MOD((A27/(((A27/((B27*60)+C27))+(A27/((L27*60)+M27)))/2)),60)</f>
        <v>14.0534147276678</v>
      </c>
      <c r="J27" s="61">
        <f>TRUNC((2*A27/((A27/(H27*60+I27))+(A27/(L27*60+M27))))/60)</f>
        <v>19</v>
      </c>
      <c r="K27" s="62">
        <f>MOD((2*A27/((A27/(H27*60+I27))+(A27/(L27*60+M27)))),60)</f>
        <v>36.8064342533841</v>
      </c>
      <c r="L27" s="63">
        <f>TRUNC((A27/((4*($A$17/(($B$17*60)+$C$17)))-(3*($A$15/(($B$15*60)+$C$15)))))/60)</f>
        <v>20</v>
      </c>
      <c r="M27" s="62">
        <f>MOD((A27/((4*($A$17/(($B$17*60)+$C$17)))-(3*($A$15/(($B$15*60)+$C$15))))),60)</f>
        <v>0.47468354430377</v>
      </c>
      <c r="N27" s="55"/>
      <c r="O27" s="45">
        <f>C27+B27*60</f>
        <v>1111.088623886550</v>
      </c>
      <c r="P27" s="56">
        <f>A27</f>
        <v>1500</v>
      </c>
      <c r="Q27" s="57">
        <f>P27/O27</f>
        <v>1.35002732253081</v>
      </c>
      <c r="R27" s="57">
        <f>P27/(H27*60+I27)</f>
        <v>1.29976652801116</v>
      </c>
      <c r="S27" s="64">
        <v>1.67977341438692</v>
      </c>
      <c r="T27" s="59"/>
      <c r="U27" s="59"/>
      <c r="V27" s="59"/>
      <c r="W27" s="59"/>
      <c r="X27" s="59"/>
    </row>
    <row r="28" ht="13.65" customHeight="1">
      <c r="A28" s="60">
        <v>1600</v>
      </c>
      <c r="B28" s="65">
        <f>TRUNC((A28/((($C$5/(($B$6*60)+$C$6)))+((($E$5/(($D$6*60)+$E$6))-($C$5/(($B$6*60)+$C$6))))*((0.75^(LOG(($A28/100),2)))-(0.75^(LOG(($C$5/100),2))))/((0.75^(LOG(($E$5/100),2)))-(0.75^(LOG(($C$5/100),2))))))/60)</f>
        <v>19</v>
      </c>
      <c r="C28" s="62">
        <f>MOD((A28/((($C$5/(($B$6*60)+$C$6)))+((($E$5/(($D$6*60)+$E$6))-($C$5/(($B$6*60)+$C$6))))*((0.75^(LOG(($A28/100),2)))-(0.75^(LOG(($C$5/100),2))))/((0.75^(LOG(($E$5/100),2)))-(0.75^(LOG(($C$5/100),2)))))),60)</f>
        <v>47.4981658107117</v>
      </c>
      <c r="D28" s="61">
        <f>TRUNC(A28/(A30/(B30*60+C30)-0.25*(A28/(B28*60+C28)-A30/(B30*60+C30)))/60)</f>
        <v>20</v>
      </c>
      <c r="E28" s="62">
        <f>MOD(A28/(A30/(B30*60+C30)-0.25*(A28/(B28*60+C28)-A30/(B30*60+C30))),60)</f>
        <v>4.43545106075612</v>
      </c>
      <c r="F28" s="61">
        <f>TRUNC((2*A28/((A30/((B30*60)+C30))+(A28/((H28*60)+I28))))/60)</f>
        <v>20</v>
      </c>
      <c r="G28" s="62">
        <f>MOD((2*A28/((A30/((B30*60)+C30))+(A28/((H28*60)+I28)))),60)</f>
        <v>16.429038501594</v>
      </c>
      <c r="H28" s="61">
        <f>TRUNC((A28/(((A28/((B28*60)+C28))+(A28/((L28*60)+M28)))/2))/60)</f>
        <v>20</v>
      </c>
      <c r="I28" s="62">
        <f>MOD((A28/(((A28/((B28*60)+C28))+(A28/((L28*60)+M28)))/2)),60)</f>
        <v>32.2497145032356</v>
      </c>
      <c r="J28" s="61">
        <f>TRUNC((2*A28/((A28/(H28*60+I28))+(A28/(L28*60+M28))))/60)</f>
        <v>20</v>
      </c>
      <c r="K28" s="62">
        <f>MOD((2*A28/((A28/(H28*60+I28))+(A28/(L28*60+M28)))),60)</f>
        <v>55.9146459747817</v>
      </c>
      <c r="L28" s="63">
        <f>TRUNC((A28/((4*($A$17/(($B$17*60)+$C$17)))-(3*($A$15/(($B$15*60)+$C$15)))))/60)</f>
        <v>21</v>
      </c>
      <c r="M28" s="62">
        <f>MOD((A28/((4*($A$17/(($B$17*60)+$C$17)))-(3*($A$15/(($B$15*60)+$C$15))))),60)</f>
        <v>20.506329113924</v>
      </c>
      <c r="N28" s="55"/>
      <c r="O28" s="45">
        <f>C28+B28*60</f>
        <v>1187.498165810710</v>
      </c>
      <c r="P28" s="56">
        <f>A28</f>
        <v>1600</v>
      </c>
      <c r="Q28" s="57">
        <f>P28/O28</f>
        <v>1.34737050217477</v>
      </c>
      <c r="R28" s="57">
        <f>P28/(H28*60+I28)</f>
        <v>1.29843811783314</v>
      </c>
      <c r="S28" s="64">
        <v>1.67182131026815</v>
      </c>
      <c r="T28" s="59"/>
      <c r="U28" s="59"/>
      <c r="V28" s="59"/>
      <c r="W28" s="59"/>
      <c r="X28" s="59"/>
    </row>
    <row r="29" ht="13.65" customHeight="1">
      <c r="A29" s="60">
        <v>2000</v>
      </c>
      <c r="B29" s="65">
        <f>TRUNC((A29/((($C$5/(($B$6*60)+$C$6)))+((($E$5/(($D$6*60)+$E$6))-($C$5/(($B$6*60)+$C$6))))*((0.75^(LOG(($A29/100),2)))-(0.75^(LOG(($C$5/100),2))))/((0.75^(LOG(($E$5/100),2)))-(0.75^(LOG(($C$5/100),2))))))/60)</f>
        <v>24</v>
      </c>
      <c r="C29" s="62">
        <f>MOD((A29/((($C$5/(($B$6*60)+$C$6)))+((($E$5/(($D$6*60)+$E$6))-($C$5/(($B$6*60)+$C$6))))*((0.75^(LOG(($A29/100),2)))-(0.75^(LOG(($C$5/100),2))))/((0.75^(LOG(($E$5/100),2)))-(0.75^(LOG(($C$5/100),2)))))),60)</f>
        <v>53.9710833267192</v>
      </c>
      <c r="D29" s="61">
        <f>TRUNC(A29/(A31/(B31*60+C31)-0.25*(A29/(B29*60+C29)-A31/(B31*60+C31)))/60)</f>
        <v>25</v>
      </c>
      <c r="E29" s="62">
        <f>MOD(A29/(A31/(B31*60+C31)-0.25*(A29/(B29*60+C29)-A31/(B31*60+C31))),60)</f>
        <v>5.06021139691789</v>
      </c>
      <c r="F29" s="61">
        <f>TRUNC((2*A29/((A31/((B31*60)+C31))+(A29/((H29*60)+I29))))/60)</f>
        <v>25</v>
      </c>
      <c r="G29" s="62">
        <f>MOD((2*A29/((A31/((B31*60)+C31))+(A29/((H29*60)+I29)))),60)</f>
        <v>23.8483852535841</v>
      </c>
      <c r="H29" s="61">
        <f>TRUNC((A29/(((A29/((B29*60)+C29))+(A29/((L29*60)+M29)))/2))/60)</f>
        <v>25</v>
      </c>
      <c r="I29" s="62">
        <f>MOD((A29/(((A29/((B29*60)+C29))+(A29/((L29*60)+M29)))/2)),60)</f>
        <v>45.4638388123412</v>
      </c>
      <c r="J29" s="61">
        <f>TRUNC((2*A29/((A29/(H29*60+I29))+(A29/(L29*60+M29))))/60)</f>
        <v>26</v>
      </c>
      <c r="K29" s="62">
        <f>MOD((2*A29/((A29/(H29*60+I29))+(A29/(L29*60+M29)))),60)</f>
        <v>12.5646603899844</v>
      </c>
      <c r="L29" s="63">
        <f>TRUNC((A29/((4*($A$17/(($B$17*60)+$C$17)))-(3*($A$15/(($B$15*60)+$C$15)))))/60)</f>
        <v>26</v>
      </c>
      <c r="M29" s="62">
        <f>MOD((A29/((4*($A$17/(($B$17*60)+$C$17)))-(3*($A$15/(($B$15*60)+$C$15))))),60)</f>
        <v>40.632911392405</v>
      </c>
      <c r="N29" s="55"/>
      <c r="O29" s="45">
        <f>C29+B29*60</f>
        <v>1493.971083326720</v>
      </c>
      <c r="P29" s="56">
        <f>A29</f>
        <v>2000</v>
      </c>
      <c r="Q29" s="57">
        <f>P29/O29</f>
        <v>1.3387139967572</v>
      </c>
      <c r="R29" s="57">
        <f>P29/(H29*60+I29)</f>
        <v>1.29410986512435</v>
      </c>
      <c r="S29" s="64">
        <v>1.66400598729745</v>
      </c>
      <c r="T29" s="59"/>
      <c r="U29" s="59"/>
      <c r="V29" s="59"/>
      <c r="W29" s="59"/>
      <c r="X29" s="59"/>
    </row>
    <row r="30" ht="13.65" customHeight="1">
      <c r="A30" s="60">
        <v>2400</v>
      </c>
      <c r="B30" s="65">
        <f>TRUNC((A30/((($C$5/(($B$6*60)+$C$6)))+((($E$5/(($D$6*60)+$E$6))-($C$5/(($B$6*60)+$C$6))))*((0.75^(LOG(($A30/100),2)))-(0.75^(LOG(($C$5/100),2))))/((0.75^(LOG(($E$5/100),2)))-(0.75^(LOG(($C$5/100),2))))))/60)</f>
        <v>30</v>
      </c>
      <c r="C30" s="62">
        <f>MOD((A30/((($C$5/(($B$6*60)+$C$6)))+((($E$5/(($D$6*60)+$E$6))-($C$5/(($B$6*60)+$C$6))))*((0.75^(LOG(($A30/100),2)))-(0.75^(LOG(($C$5/100),2))))/((0.75^(LOG(($E$5/100),2)))-(0.75^(LOG(($C$5/100),2)))))),60)</f>
        <v>1.51417757856458</v>
      </c>
      <c r="D30" s="61">
        <f>TRUNC(A30/(A32/(B32*60+C32)-0.25*(A30/(B30*60+C30)-A32/(B32*60+C32)))/60)</f>
        <v>30</v>
      </c>
      <c r="E30" s="62">
        <f>MOD(A30/(A32/(B32*60+C32)-0.25*(A30/(B30*60+C30)-A32/(B32*60+C32))),60)</f>
        <v>13.9657346653948</v>
      </c>
      <c r="F30" s="61">
        <f>TRUNC((2*A30/((A32/((B32*60)+C32))+(A30/((H30*60)+I30))))/60)</f>
        <v>30</v>
      </c>
      <c r="G30" s="62">
        <f>MOD((2*A30/((A32/((B32*60)+C32))+(A30/((H30*60)+I30)))),60)</f>
        <v>35.0334562223072</v>
      </c>
      <c r="H30" s="61">
        <f>TRUNC((A30/(((A30/((B30*60)+C30))+(A30/((L30*60)+M30)))/2))/60)</f>
        <v>30</v>
      </c>
      <c r="I30" s="62">
        <f>MOD((A30/(((A30/((B30*60)+C30))+(A30/((L30*60)+M30)))/2)),60)</f>
        <v>59.2267872690942</v>
      </c>
      <c r="J30" s="61">
        <f>TRUNC((2*A30/((A30/(H30*60+I30))+(A30/(L30*60+M30))))/60)</f>
        <v>31</v>
      </c>
      <c r="K30" s="62">
        <f>MOD((2*A30/((A30/(H30*60+I30))+(A30/(L30*60+M30)))),60)</f>
        <v>29.4923087637719</v>
      </c>
      <c r="L30" s="63">
        <f>TRUNC((A30/((4*($A$17/(($B$17*60)+$C$17)))-(3*($A$15/(($B$15*60)+$C$15)))))/60)</f>
        <v>32</v>
      </c>
      <c r="M30" s="62">
        <f>MOD((A30/((4*($A$17/(($B$17*60)+$C$17)))-(3*($A$15/(($B$15*60)+$C$15))))),60)</f>
        <v>0.759493670886032</v>
      </c>
      <c r="N30" s="55"/>
      <c r="O30" s="45">
        <f>C30+B30*60</f>
        <v>1801.514177578560</v>
      </c>
      <c r="P30" s="56">
        <f>A30</f>
        <v>2400</v>
      </c>
      <c r="Q30" s="57">
        <f>P30/O30</f>
        <v>1.33221266303098</v>
      </c>
      <c r="R30" s="57">
        <f>P30/(H30*60+I30)</f>
        <v>1.29085919826124</v>
      </c>
      <c r="S30" s="64">
        <v>1.65966657773251</v>
      </c>
      <c r="T30" s="59"/>
      <c r="U30" s="59"/>
      <c r="V30" s="59"/>
      <c r="W30" s="59"/>
      <c r="X30" s="59"/>
    </row>
    <row r="31" ht="13.65" customHeight="1">
      <c r="A31" s="60">
        <v>2500</v>
      </c>
      <c r="B31" s="65">
        <f>TRUNC((A31/((($C$5/(($B$6*60)+$C$6)))+((($E$5/(($D$6*60)+$E$6))-($C$5/(($B$6*60)+$C$6))))*((0.75^(LOG(($A31/100),2)))-(0.75^(LOG(($C$5/100),2))))/((0.75^(LOG(($E$5/100),2)))-(0.75^(LOG(($C$5/100),2))))))/60)</f>
        <v>31</v>
      </c>
      <c r="C31" s="62">
        <f>MOD((A31/((($C$5/(($B$6*60)+$C$6)))+((($E$5/(($D$6*60)+$E$6))-($C$5/(($B$6*60)+$C$6))))*((0.75^(LOG(($A31/100),2)))-(0.75^(LOG(($C$5/100),2))))/((0.75^(LOG(($E$5/100),2)))-(0.75^(LOG(($C$5/100),2)))))),60)</f>
        <v>18.5365446302941</v>
      </c>
      <c r="D31" s="61">
        <f>TRUNC(A31/(A33/(B33*60+C33)-0.25*(A31/(B31*60+C31)-A33/(B33*60+C33)))/60)</f>
        <v>31</v>
      </c>
      <c r="E31" s="62">
        <f>MOD(A31/(A33/(B33*60+C33)-0.25*(A31/(B31*60+C31)-A33/(B33*60+C33))),60)</f>
        <v>32.6137189878631</v>
      </c>
      <c r="F31" s="61">
        <f>TRUNC((2*A31/((A33/((B33*60)+C33))+(A31/((H31*60)+I31))))/60)</f>
        <v>31</v>
      </c>
      <c r="G31" s="62">
        <f>MOD((2*A31/((A33/((B33*60)+C33))+(A31/((H31*60)+I31)))),60)</f>
        <v>53.4590151069875</v>
      </c>
      <c r="H31" s="61">
        <f>TRUNC((A31/(((A31/((B31*60)+C31))+(A31/((L31*60)+M31)))/2))/60)</f>
        <v>32</v>
      </c>
      <c r="I31" s="62">
        <f>MOD((A31/(((A31/((B31*60)+C31))+(A31/((L31*60)+M31)))/2)),60)</f>
        <v>17.7374532514216</v>
      </c>
      <c r="J31" s="61">
        <f>TRUNC((2*A31/((A31/(H31*60+I31))+(A31/(L31*60+M31))))/60)</f>
        <v>32</v>
      </c>
      <c r="K31" s="62">
        <f>MOD((2*A31/((A31/(H31*60+I31))+(A31/(L31*60+M31)))),60)</f>
        <v>48.7595687540284</v>
      </c>
      <c r="L31" s="63">
        <f>TRUNC((A31/((4*($A$17/(($B$17*60)+$C$17)))-(3*($A$15/(($B$15*60)+$C$15)))))/60)</f>
        <v>33</v>
      </c>
      <c r="M31" s="62">
        <f>MOD((A31/((4*($A$17/(($B$17*60)+$C$17)))-(3*($A$15/(($B$15*60)+$C$15))))),60)</f>
        <v>20.7911392405063</v>
      </c>
      <c r="N31" s="55"/>
      <c r="O31" s="45">
        <f>C31+B31*60</f>
        <v>1878.536544630290</v>
      </c>
      <c r="P31" s="56">
        <f>A31</f>
        <v>2500</v>
      </c>
      <c r="Q31" s="57">
        <f>P31/O31</f>
        <v>1.3308231916734</v>
      </c>
      <c r="R31" s="57">
        <f>P31/(H31*60+I31)</f>
        <v>1.29016446258245</v>
      </c>
      <c r="S31" s="64">
        <v>1.6541653724732</v>
      </c>
      <c r="T31" s="59"/>
      <c r="U31" s="59"/>
      <c r="V31" s="59"/>
      <c r="W31" s="59"/>
      <c r="X31" s="59"/>
    </row>
    <row r="32" ht="13.65" customHeight="1">
      <c r="A32" s="60">
        <v>3000</v>
      </c>
      <c r="B32" s="65">
        <f>TRUNC((A32/((($C$5/(($B$6*60)+$C$6)))+((($E$5/(($D$6*60)+$E$6))-($C$5/(($B$6*60)+$C$6))))*((0.75^(LOG(($A32/100),2)))-(0.75^(LOG(($C$5/100),2))))/((0.75^(LOG(($E$5/100),2)))-(0.75^(LOG(($C$5/100),2))))))/60)</f>
        <v>37</v>
      </c>
      <c r="C32" s="62">
        <f>MOD((A32/((($C$5/(($B$6*60)+$C$6)))+((($E$5/(($D$6*60)+$E$6))-($C$5/(($B$6*60)+$C$6))))*((0.75^(LOG(($A32/100),2)))-(0.75^(LOG(($C$5/100),2))))/((0.75^(LOG(($E$5/100),2)))-(0.75^(LOG(($C$5/100),2)))))),60)</f>
        <v>44.3270904915116</v>
      </c>
      <c r="D32" s="61">
        <f>TRUNC(A32/(A34/(B34*60+C34)-0.25*(A32/(B32*60+C32)-A34/(B34*60+C34)))/60)</f>
        <v>38</v>
      </c>
      <c r="E32" s="62">
        <f>MOD(A32/(A34/(B34*60+C34)-0.25*(A32/(B32*60+C32)-A34/(B34*60+C34))),60)</f>
        <v>2.60006729798678</v>
      </c>
      <c r="F32" s="61">
        <f>TRUNC((2*A32/((A34/((B34*60)+C34))+(A32/((H32*60)+I32))))/60)</f>
        <v>38</v>
      </c>
      <c r="G32" s="62">
        <f>MOD((2*A32/((A34/((B34*60)+C34))+(A32/((H32*60)+I32)))),60)</f>
        <v>24.4897225857236</v>
      </c>
      <c r="H32" s="61">
        <f>TRUNC((A32/(((A32/((B32*60)+C32))+(A32/((L32*60)+M32)))/2))/60)</f>
        <v>38</v>
      </c>
      <c r="I32" s="62">
        <f>MOD((A32/(((A32/((B32*60)+C32))+(A32/((L32*60)+M32)))/2)),60)</f>
        <v>50.6377421487754</v>
      </c>
      <c r="J32" s="61">
        <f>TRUNC((2*A32/((A32/(H32*60+I32))+(A32/(L32*60+M32))))/60)</f>
        <v>39</v>
      </c>
      <c r="K32" s="62">
        <f>MOD((2*A32/((A32/(H32*60+I32))+(A32/(L32*60+M32)))),60)</f>
        <v>25.2711374584929</v>
      </c>
      <c r="L32" s="63">
        <f>TRUNC((A32/((4*($A$17/(($B$17*60)+$C$17)))-(3*($A$15/(($B$15*60)+$C$15)))))/60)</f>
        <v>40</v>
      </c>
      <c r="M32" s="62">
        <f>MOD((A32/((4*($A$17/(($B$17*60)+$C$17)))-(3*($A$15/(($B$15*60)+$C$15))))),60)</f>
        <v>0.94936708860754</v>
      </c>
      <c r="N32" s="55"/>
      <c r="O32" s="45">
        <f>C32+B32*60</f>
        <v>2264.327090491510</v>
      </c>
      <c r="P32" s="56">
        <f>A32</f>
        <v>3000</v>
      </c>
      <c r="Q32" s="57">
        <f>P32/O32</f>
        <v>1.32489692527099</v>
      </c>
      <c r="R32" s="57">
        <f>P32/(H32*60+I32)</f>
        <v>1.28720132938124</v>
      </c>
      <c r="S32" s="64">
        <v>1.65031325516571</v>
      </c>
      <c r="T32" s="59"/>
      <c r="U32" s="59"/>
      <c r="V32" s="59"/>
      <c r="W32" s="59"/>
      <c r="X32" s="59"/>
    </row>
    <row r="33" ht="13.65" customHeight="1">
      <c r="A33" s="60">
        <v>3200</v>
      </c>
      <c r="B33" s="65">
        <f>TRUNC((A33/((($C$5/(($B$6*60)+$C$6)))+((($E$5/(($D$6*60)+$E$6))-($C$5/(($B$6*60)+$C$6))))*((0.75^(LOG(($A33/100),2)))-(0.75^(LOG(($C$5/100),2))))/((0.75^(LOG(($E$5/100),2)))-(0.75^(LOG(($C$5/100),2))))))/60)</f>
        <v>40</v>
      </c>
      <c r="C33" s="62">
        <f>MOD((A33/((($C$5/(($B$6*60)+$C$6)))+((($E$5/(($D$6*60)+$E$6))-($C$5/(($B$6*60)+$C$6))))*((0.75^(LOG(($A33/100),2)))-(0.75^(LOG(($C$5/100),2))))/((0.75^(LOG(($E$5/100),2)))-(0.75^(LOG(($C$5/100),2)))))),60)</f>
        <v>18.9202316458061</v>
      </c>
      <c r="D33" s="67"/>
      <c r="E33" s="62"/>
      <c r="F33" s="68"/>
      <c r="G33" s="69"/>
      <c r="H33" s="61">
        <f>TRUNC((A33/(((A33/((B33*60)+C33))+(A33/((L33*60)+M33)))/2))/60)</f>
        <v>41</v>
      </c>
      <c r="I33" s="62">
        <f>MOD((A33/(((A33/((B33*60)+C33))+(A33/((L33*60)+M33)))/2)),60)</f>
        <v>27.939283312518</v>
      </c>
      <c r="J33" s="61">
        <f>TRUNC((2*A33/((A33/(H33*60+I33))+(A33/(L33*60+M33))))/60)</f>
        <v>42</v>
      </c>
      <c r="K33" s="62">
        <f>MOD((2*A33/((A33/(H33*60+I33))+(A33/(L33*60+M33)))),60)</f>
        <v>3.94717606354461</v>
      </c>
      <c r="L33" s="63">
        <f>TRUNC((A33/((4*($A$17/(($B$17*60)+$C$17)))-(3*($A$15/(($B$15*60)+$C$15)))))/60)</f>
        <v>42</v>
      </c>
      <c r="M33" s="62">
        <f>MOD((A33/((4*($A$17/(($B$17*60)+$C$17)))-(3*($A$15/(($B$15*60)+$C$15))))),60)</f>
        <v>41.012658227848</v>
      </c>
      <c r="N33" s="55"/>
      <c r="O33" s="45">
        <f>C33+B33*60</f>
        <v>2418.920231645810</v>
      </c>
      <c r="P33" s="56">
        <f>A33</f>
        <v>3200</v>
      </c>
      <c r="Q33" s="57">
        <f>P33/O33</f>
        <v>1.32290431000395</v>
      </c>
      <c r="R33" s="57">
        <f>P33/(H33*60+I33)</f>
        <v>1.28620502174773</v>
      </c>
      <c r="S33" s="64"/>
      <c r="T33" s="59"/>
      <c r="U33" s="59"/>
      <c r="V33" s="59"/>
      <c r="W33" s="59"/>
      <c r="X33" s="59"/>
    </row>
    <row r="34" ht="13.65" customHeight="1">
      <c r="A34" s="70">
        <v>4000</v>
      </c>
      <c r="B34" s="24">
        <f>TRUNC((A34/((($C$5/(($B$6*60)+$C$6)))+((($E$5/(($D$6*60)+$E$6))-($C$5/(($B$6*60)+$C$6))))*((0.75^(LOG(($A34/100),2)))-(0.75^(LOG(($C$5/100),2))))/((0.75^(LOG(($E$5/100),2)))-(0.75^(LOG(($C$5/100),2))))))/60)</f>
        <v>50</v>
      </c>
      <c r="C34" s="25">
        <f>MOD((A34/((($C$5/(($B$6*60)+$C$6)))+((($E$5/(($D$6*60)+$E$6))-($C$5/(($B$6*60)+$C$6))))*((0.75^(LOG(($A34/100),2)))-(0.75^(LOG(($C$5/100),2))))/((0.75^(LOG(($E$5/100),2)))-(0.75^(LOG(($C$5/100),2)))))),60)</f>
        <v>38.5625547630759</v>
      </c>
      <c r="D34" s="71"/>
      <c r="E34" s="25"/>
      <c r="F34" s="72"/>
      <c r="G34" s="12"/>
      <c r="H34" s="73">
        <f>TRUNC((A34/(((A34/((B34*60)+C34))+(A34/((L34*60)+M34)))/2))/60)</f>
        <v>51</v>
      </c>
      <c r="I34" s="25">
        <f>MOD((A34/(((A34/((B34*60)+C34))+(A34/((L34*60)+M34)))/2)),60)</f>
        <v>57.7929482667357</v>
      </c>
      <c r="J34" s="73">
        <f>TRUNC((2*A34/((A34/(H34*60+I34))+(A34/(L34*60+M34))))/60)</f>
        <v>52</v>
      </c>
      <c r="K34" s="25">
        <f>MOD((2*A34/((A34/(H34*60+I34))+(A34/(L34*60+M34)))),60)</f>
        <v>38.9780596849507</v>
      </c>
      <c r="L34" s="74">
        <f>TRUNC((A34/((4*($A$17/(($B$17*60)+$C$17)))-(3*($A$15/(($B$15*60)+$C$15)))))/60)</f>
        <v>53</v>
      </c>
      <c r="M34" s="25">
        <f>MOD((A34/((4*($A$17/(($B$17*60)+$C$17)))-(3*($A$15/(($B$15*60)+$C$15))))),60)</f>
        <v>21.2658227848101</v>
      </c>
      <c r="N34" s="55"/>
      <c r="O34" s="45">
        <f>C34+B34*60</f>
        <v>3038.562554763080</v>
      </c>
      <c r="P34" s="56">
        <f>A34</f>
        <v>4000</v>
      </c>
      <c r="Q34" s="57">
        <f>P34/O34</f>
        <v>1.31641193094077</v>
      </c>
      <c r="R34" s="57">
        <f>P34/(H34*60+I34)</f>
        <v>1.28295883221614</v>
      </c>
      <c r="S34" s="64"/>
      <c r="T34" s="59"/>
      <c r="U34" s="59"/>
      <c r="V34" s="59"/>
      <c r="W34" s="59"/>
      <c r="X34" s="59"/>
    </row>
    <row r="35" ht="13.65" customHeight="1">
      <c r="A35" s="4"/>
      <c r="B35" s="3"/>
      <c r="C35" s="4"/>
      <c r="D35" s="3"/>
      <c r="E35" s="3"/>
      <c r="F35" s="3"/>
      <c r="G35" s="26"/>
      <c r="H35" s="26"/>
      <c r="I35" s="26"/>
      <c r="J35" s="26"/>
      <c r="K35" s="26"/>
      <c r="L35" s="26"/>
      <c r="M35" s="75"/>
      <c r="N35" s="59"/>
      <c r="O35" s="8"/>
      <c r="P35" s="8"/>
      <c r="Q35" s="8"/>
      <c r="R35" s="8"/>
      <c r="S35" s="8"/>
      <c r="T35" s="8"/>
      <c r="U35" s="8"/>
      <c r="V35" s="8"/>
      <c r="W35" s="8"/>
      <c r="X35" s="8"/>
    </row>
    <row r="36" ht="13.65" customHeight="1">
      <c r="A36" s="8"/>
      <c r="B36" s="8"/>
      <c r="C36" s="8"/>
      <c r="D36" s="7"/>
      <c r="E36" s="8"/>
      <c r="F36" s="64"/>
      <c r="G36" s="8"/>
      <c r="H36" s="8"/>
      <c r="I36" s="8"/>
      <c r="J36" s="8"/>
      <c r="K36" s="8"/>
      <c r="L36" s="8"/>
      <c r="M36" s="59"/>
      <c r="N36" s="59"/>
      <c r="O36" s="8"/>
      <c r="P36" s="8"/>
      <c r="Q36" s="8"/>
      <c r="R36" s="8"/>
      <c r="S36" s="8"/>
      <c r="T36" s="8"/>
      <c r="U36" s="8"/>
      <c r="V36" s="8"/>
      <c r="W36" s="8"/>
      <c r="X36" s="8"/>
    </row>
    <row r="37" ht="13.65" customHeight="1">
      <c r="A37" s="8"/>
      <c r="B37" s="8"/>
      <c r="C37" s="8"/>
      <c r="D37" s="8"/>
      <c r="E37" s="8"/>
      <c r="F37" s="8"/>
      <c r="G37" s="8"/>
      <c r="H37" s="8"/>
      <c r="I37" s="8"/>
      <c r="J37" s="8"/>
      <c r="K37" s="8"/>
      <c r="L37" s="8"/>
      <c r="M37" s="8"/>
      <c r="N37" s="8"/>
      <c r="O37" s="8"/>
      <c r="P37" s="8"/>
      <c r="Q37" s="8"/>
      <c r="R37" s="8"/>
      <c r="S37" s="8"/>
      <c r="T37" s="8"/>
      <c r="U37" s="8"/>
      <c r="V37" s="8"/>
      <c r="W37" s="8"/>
      <c r="X37" s="8"/>
    </row>
    <row r="38" ht="13.65" customHeight="1">
      <c r="A38" s="76"/>
      <c r="B38" s="7"/>
      <c r="C38" s="28"/>
      <c r="D38" s="77"/>
      <c r="E38" s="8"/>
      <c r="F38" s="8"/>
      <c r="G38" s="8"/>
      <c r="H38" s="8"/>
      <c r="I38" s="8"/>
      <c r="J38" s="8"/>
      <c r="K38" s="8"/>
      <c r="L38" s="8"/>
      <c r="M38" s="8"/>
      <c r="N38" s="8"/>
      <c r="O38" s="8"/>
      <c r="P38" s="8"/>
      <c r="Q38" s="8"/>
      <c r="R38" s="8"/>
      <c r="S38" s="8"/>
      <c r="T38" s="8"/>
      <c r="U38" s="8"/>
      <c r="V38" s="8"/>
      <c r="W38" s="8"/>
      <c r="X38" s="8"/>
    </row>
    <row r="39" ht="13.65" customHeight="1">
      <c r="A39" s="7"/>
      <c r="B39" s="7"/>
      <c r="C39" t="s" s="13">
        <v>32</v>
      </c>
      <c r="D39" s="8"/>
      <c r="E39" t="s" s="13">
        <v>15</v>
      </c>
      <c r="F39" t="s" s="13">
        <v>16</v>
      </c>
      <c r="G39" s="8"/>
      <c r="H39" s="8"/>
      <c r="I39" t="s" s="13">
        <v>33</v>
      </c>
      <c r="J39" s="8"/>
      <c r="K39" t="s" s="13">
        <v>34</v>
      </c>
      <c r="L39" s="8"/>
      <c r="M39" s="8"/>
      <c r="N39" s="8"/>
      <c r="O39" s="8"/>
      <c r="P39" s="8"/>
      <c r="Q39" s="8"/>
      <c r="R39" s="8"/>
      <c r="S39" s="8"/>
      <c r="T39" s="8"/>
      <c r="U39" s="8"/>
      <c r="V39" s="8"/>
      <c r="W39" s="8"/>
      <c r="X39" s="8"/>
    </row>
    <row r="40" ht="13.65" customHeight="1">
      <c r="A40" s="8"/>
      <c r="B40" s="8"/>
      <c r="C40" s="8"/>
      <c r="D40" s="8"/>
      <c r="E40" t="s" s="78">
        <v>35</v>
      </c>
      <c r="F40" s="8"/>
      <c r="G40" s="8"/>
      <c r="H40" s="8"/>
      <c r="I40" s="8"/>
      <c r="J40" s="8"/>
      <c r="K40" t="s" s="78">
        <v>36</v>
      </c>
      <c r="L40" s="8"/>
      <c r="M40" s="8"/>
      <c r="N40" s="8"/>
      <c r="O40" s="8"/>
      <c r="P40" s="8"/>
      <c r="Q40" s="8"/>
      <c r="R40" s="8"/>
      <c r="S40" s="8"/>
      <c r="T40" s="8"/>
      <c r="U40" s="8"/>
      <c r="V40" s="8"/>
      <c r="W40" s="8"/>
      <c r="X40" s="8"/>
    </row>
    <row r="41" ht="13.65" customHeight="1">
      <c r="A41" s="79">
        <v>50</v>
      </c>
      <c r="B41" s="80"/>
      <c r="C41" s="28"/>
      <c r="D41" s="77"/>
      <c r="E41" s="64">
        <f>SLOPE($P$13:P14,$O$13:O14)</f>
        <v>1.48396068959304</v>
      </c>
      <c r="F41" s="7"/>
      <c r="G41" s="7"/>
      <c r="H41" s="7"/>
      <c r="I41" s="7"/>
      <c r="J41" s="7"/>
      <c r="K41" s="7">
        <f>ABS(INTERCEPT($P$13:P14,$O$13:O14))</f>
        <v>5.35368004605141</v>
      </c>
      <c r="L41" s="8"/>
      <c r="M41" s="8"/>
      <c r="N41" s="8"/>
      <c r="O41" s="8"/>
      <c r="P41" s="8"/>
      <c r="Q41" s="8"/>
      <c r="R41" s="8"/>
      <c r="S41" s="8"/>
      <c r="T41" s="8"/>
      <c r="U41" s="8"/>
      <c r="V41" s="8"/>
      <c r="W41" s="8"/>
      <c r="X41" s="8"/>
    </row>
    <row r="42" ht="13.65" customHeight="1">
      <c r="A42" s="79">
        <v>75</v>
      </c>
      <c r="B42" s="28"/>
      <c r="C42" s="81"/>
      <c r="D42" s="28"/>
      <c r="E42" s="64">
        <f>SLOPE($P$13:P15,$O$13:O15)</f>
        <v>1.46769293777946</v>
      </c>
      <c r="F42" s="7"/>
      <c r="G42" s="7"/>
      <c r="H42" s="7"/>
      <c r="I42" s="7"/>
      <c r="J42" s="7"/>
      <c r="K42" s="7">
        <f>ABS(INTERCEPT($P$13:P15,$O$13:O15))</f>
        <v>5.93512634830529</v>
      </c>
      <c r="L42" s="8"/>
      <c r="M42" s="8"/>
      <c r="N42" s="8"/>
      <c r="O42" s="8"/>
      <c r="P42" s="8"/>
      <c r="Q42" s="8"/>
      <c r="R42" s="8"/>
      <c r="S42" s="8"/>
      <c r="T42" s="8"/>
      <c r="U42" s="8"/>
      <c r="V42" s="8"/>
      <c r="W42" s="8"/>
      <c r="X42" s="8"/>
    </row>
    <row r="43" ht="13.65" customHeight="1">
      <c r="A43" s="79">
        <v>100</v>
      </c>
      <c r="B43" s="28"/>
      <c r="C43" s="82"/>
      <c r="D43" s="28"/>
      <c r="E43" s="64">
        <f>SLOPE($P$13:P16,$O$13:O16)</f>
        <v>1.44314613688924</v>
      </c>
      <c r="F43" s="7"/>
      <c r="G43" s="7"/>
      <c r="H43" s="7"/>
      <c r="I43" s="7"/>
      <c r="J43" s="7"/>
      <c r="K43" s="7">
        <f>ABS(INTERCEPT($P$13:P16,$O$13:O16))</f>
        <v>6.99930242948781</v>
      </c>
      <c r="L43" s="8"/>
      <c r="M43" s="8"/>
      <c r="N43" s="8"/>
      <c r="O43" s="8"/>
      <c r="P43" s="8"/>
      <c r="Q43" s="8"/>
      <c r="R43" s="8"/>
      <c r="S43" s="8"/>
      <c r="T43" s="8"/>
      <c r="U43" s="8"/>
      <c r="V43" s="8"/>
      <c r="W43" s="8"/>
      <c r="X43" s="8"/>
    </row>
    <row r="44" ht="13.65" customHeight="1">
      <c r="A44" s="79">
        <v>150</v>
      </c>
      <c r="B44" s="7"/>
      <c r="C44" s="28"/>
      <c r="D44" s="77"/>
      <c r="E44" s="64">
        <f>SLOPE($P$13:P17,$O$13:O17)</f>
        <v>1.42778112660275</v>
      </c>
      <c r="F44" s="7"/>
      <c r="G44" s="7"/>
      <c r="H44" s="7"/>
      <c r="I44" s="7"/>
      <c r="J44" s="7"/>
      <c r="K44" s="7">
        <f>ABS(INTERCEPT($P$13:P17,$O$13:O17))</f>
        <v>7.78825125360211</v>
      </c>
      <c r="L44" s="8"/>
      <c r="M44" s="8"/>
      <c r="N44" s="8"/>
      <c r="O44" s="8"/>
      <c r="P44" s="8"/>
      <c r="Q44" s="8"/>
      <c r="R44" s="8"/>
      <c r="S44" s="8"/>
      <c r="T44" s="8"/>
      <c r="U44" s="8"/>
      <c r="V44" s="8"/>
      <c r="W44" s="8"/>
      <c r="X44" s="8"/>
    </row>
    <row r="45" ht="13.65" customHeight="1">
      <c r="A45" s="79">
        <v>200</v>
      </c>
      <c r="B45" s="8"/>
      <c r="C45" s="28"/>
      <c r="D45" s="77"/>
      <c r="E45" s="64">
        <f>SLOPE($P$13:P18,$O$13:O18)</f>
        <v>1.41636830645049</v>
      </c>
      <c r="F45" s="7"/>
      <c r="G45" s="7"/>
      <c r="H45" s="7"/>
      <c r="I45" s="7"/>
      <c r="J45" s="7"/>
      <c r="K45" s="7">
        <f>ABS(INTERCEPT($P$13:P18,$O$13:O18))</f>
        <v>8.476187314789049</v>
      </c>
      <c r="L45" s="8"/>
      <c r="M45" s="8"/>
      <c r="N45" s="8"/>
      <c r="O45" s="8"/>
      <c r="P45" s="8"/>
      <c r="Q45" s="8"/>
      <c r="R45" s="8"/>
      <c r="S45" s="8"/>
      <c r="T45" s="8"/>
      <c r="U45" s="8"/>
      <c r="V45" s="8"/>
      <c r="W45" s="8"/>
      <c r="X45" s="8"/>
    </row>
    <row r="46" ht="13.65" customHeight="1">
      <c r="A46" s="79">
        <v>250</v>
      </c>
      <c r="B46" s="83"/>
      <c r="C46" s="84"/>
      <c r="D46" s="84"/>
      <c r="E46" s="64">
        <f>SLOPE($P$13:P19,$O$13:O19)</f>
        <v>1.40722716500835</v>
      </c>
      <c r="F46" s="84"/>
      <c r="G46" s="84"/>
      <c r="H46" s="84"/>
      <c r="I46" s="84"/>
      <c r="J46" s="84"/>
      <c r="K46" s="7">
        <f>ABS(INTERCEPT($P$13:P19,$O$13:O19))</f>
        <v>9.11528852385857</v>
      </c>
      <c r="L46" s="85"/>
      <c r="M46" s="8"/>
      <c r="N46" s="8"/>
      <c r="O46" s="8"/>
      <c r="P46" s="8"/>
      <c r="Q46" s="8"/>
      <c r="R46" s="8"/>
      <c r="S46" s="8"/>
      <c r="T46" s="8"/>
      <c r="U46" s="8"/>
      <c r="V46" s="8"/>
      <c r="W46" s="8"/>
      <c r="X46" s="8"/>
    </row>
    <row r="47" ht="13.65" customHeight="1">
      <c r="A47" s="79">
        <v>300</v>
      </c>
      <c r="B47" s="83"/>
      <c r="C47" s="86"/>
      <c r="D47" s="83"/>
      <c r="E47" s="64">
        <f>SLOPE($P$13:P20,$O$13:O20)</f>
        <v>1.39414550001395</v>
      </c>
      <c r="F47" s="83"/>
      <c r="G47" s="86"/>
      <c r="H47" s="83"/>
      <c r="I47" s="86"/>
      <c r="J47" s="83"/>
      <c r="K47" s="7">
        <f>ABS(INTERCEPT($P$13:P20,$O$13:O20))</f>
        <v>10.2396306741247</v>
      </c>
      <c r="L47" s="83"/>
      <c r="M47" s="8"/>
      <c r="N47" s="8"/>
      <c r="O47" s="8"/>
      <c r="P47" s="8"/>
      <c r="Q47" s="8"/>
      <c r="R47" s="8"/>
      <c r="S47" s="8"/>
      <c r="T47" s="8"/>
      <c r="U47" s="8"/>
      <c r="V47" s="8"/>
      <c r="W47" s="8"/>
      <c r="X47" s="8"/>
    </row>
    <row r="48" ht="13.65" customHeight="1">
      <c r="A48" s="79">
        <v>400</v>
      </c>
      <c r="B48" s="28"/>
      <c r="C48" s="82"/>
      <c r="D48" s="87"/>
      <c r="E48" s="64">
        <f>SLOPE($P$13:P21,$O$13:O21)</f>
        <v>1.38332237622936</v>
      </c>
      <c r="F48" s="28"/>
      <c r="G48" s="82"/>
      <c r="H48" s="28"/>
      <c r="I48" s="82"/>
      <c r="J48" s="8"/>
      <c r="K48" s="7">
        <f>ABS(INTERCEPT($P$13:P21,$O$13:O21))</f>
        <v>11.3241892804621</v>
      </c>
      <c r="L48" s="8"/>
      <c r="M48" s="8"/>
      <c r="N48" s="8"/>
      <c r="O48" s="8"/>
      <c r="P48" s="8"/>
      <c r="Q48" s="8"/>
      <c r="R48" s="8"/>
      <c r="S48" s="8"/>
      <c r="T48" s="8"/>
      <c r="U48" s="8"/>
      <c r="V48" s="8"/>
      <c r="W48" s="8"/>
      <c r="X48" s="8"/>
    </row>
    <row r="49" ht="13.65" customHeight="1">
      <c r="A49" s="79">
        <v>500</v>
      </c>
      <c r="B49" s="28"/>
      <c r="C49" s="82"/>
      <c r="D49" s="87"/>
      <c r="E49" s="64">
        <f>SLOPE($P$13:P22,$O$13:O22)</f>
        <v>1.37490604859119</v>
      </c>
      <c r="F49" s="28"/>
      <c r="G49" s="82"/>
      <c r="H49" s="28"/>
      <c r="I49" s="82"/>
      <c r="J49" s="8"/>
      <c r="K49" s="7">
        <f>ABS(INTERCEPT($P$13:P22,$O$13:O22))</f>
        <v>12.2912787166611</v>
      </c>
      <c r="L49" s="7"/>
      <c r="M49" s="86"/>
      <c r="N49" s="86"/>
      <c r="O49" s="8"/>
      <c r="P49" s="8"/>
      <c r="Q49" s="8"/>
      <c r="R49" s="8"/>
      <c r="S49" s="8"/>
      <c r="T49" s="8"/>
      <c r="U49" s="8"/>
      <c r="V49" s="8"/>
      <c r="W49" s="8"/>
      <c r="X49" s="8"/>
    </row>
    <row r="50" ht="13.65" customHeight="1">
      <c r="A50" s="79">
        <v>600</v>
      </c>
      <c r="B50" s="28"/>
      <c r="C50" s="82"/>
      <c r="D50" s="87"/>
      <c r="E50" s="64">
        <f>SLOPE($P$13:P23,$O$13:O23)</f>
        <v>1.3640061903435</v>
      </c>
      <c r="F50" s="28"/>
      <c r="G50" s="82"/>
      <c r="H50" s="28"/>
      <c r="I50" s="82"/>
      <c r="J50" s="8"/>
      <c r="K50" s="7">
        <f>ABS(INTERCEPT($P$13:P23,$O$13:O23))</f>
        <v>13.8196231465208</v>
      </c>
      <c r="L50" s="7"/>
      <c r="M50" s="8"/>
      <c r="N50" s="8"/>
      <c r="O50" s="8"/>
      <c r="P50" s="8"/>
      <c r="Q50" s="8"/>
      <c r="R50" s="8"/>
      <c r="S50" s="8"/>
      <c r="T50" s="8"/>
      <c r="U50" s="8"/>
      <c r="V50" s="8"/>
      <c r="W50" s="8"/>
      <c r="X50" s="8"/>
    </row>
    <row r="51" ht="13.65" customHeight="1">
      <c r="A51" s="79">
        <v>800</v>
      </c>
      <c r="B51" s="28"/>
      <c r="C51" s="82"/>
      <c r="D51" s="87"/>
      <c r="E51" s="64">
        <f>SLOPE($P$13:P24,$O$13:O24)</f>
        <v>1.35787317005103</v>
      </c>
      <c r="F51" s="28"/>
      <c r="G51" s="82"/>
      <c r="H51" s="28"/>
      <c r="I51" s="82"/>
      <c r="J51" s="8"/>
      <c r="K51" s="7">
        <f>ABS(INTERCEPT($P$13:P24,$O$13:O24))</f>
        <v>14.7620563104444</v>
      </c>
      <c r="L51" s="7"/>
      <c r="M51" s="8"/>
      <c r="N51" s="8"/>
      <c r="O51" s="8"/>
      <c r="P51" s="8"/>
      <c r="Q51" s="8"/>
      <c r="R51" s="8"/>
      <c r="S51" s="8"/>
      <c r="T51" s="8"/>
      <c r="U51" s="8"/>
      <c r="V51" s="8"/>
      <c r="W51" s="8"/>
      <c r="X51" s="8"/>
    </row>
    <row r="52" ht="13.65" customHeight="1">
      <c r="A52" s="79">
        <v>900</v>
      </c>
      <c r="B52" s="28"/>
      <c r="C52" s="82"/>
      <c r="D52" s="87"/>
      <c r="E52" s="64">
        <f>SLOPE($P$13:P25,$O$13:O25)</f>
        <v>1.35342051927506</v>
      </c>
      <c r="F52" s="28"/>
      <c r="G52" s="82"/>
      <c r="H52" s="28"/>
      <c r="I52" s="82"/>
      <c r="J52" s="8"/>
      <c r="K52" s="7">
        <f>ABS(INTERCEPT($P$13:P25,$O$13:O25))</f>
        <v>15.5176129385374</v>
      </c>
      <c r="L52" s="7"/>
      <c r="M52" s="8"/>
      <c r="N52" s="8"/>
      <c r="O52" s="8"/>
      <c r="P52" s="8"/>
      <c r="Q52" s="8"/>
      <c r="R52" s="8"/>
      <c r="S52" s="8"/>
      <c r="T52" s="8"/>
      <c r="U52" s="8"/>
      <c r="V52" s="8"/>
      <c r="W52" s="8"/>
      <c r="X52" s="8"/>
    </row>
    <row r="53" ht="13.65" customHeight="1">
      <c r="A53" s="79">
        <v>1000</v>
      </c>
      <c r="B53" s="28"/>
      <c r="C53" s="82"/>
      <c r="D53" s="87"/>
      <c r="E53" s="64">
        <f>SLOPE($P$13:P26,$O$13:O26)</f>
        <v>1.34808374438302</v>
      </c>
      <c r="F53" s="28"/>
      <c r="G53" s="82"/>
      <c r="H53" s="28"/>
      <c r="I53" s="82"/>
      <c r="J53" s="8"/>
      <c r="K53" s="7">
        <f>ABS(INTERCEPT($P$13:P26,$O$13:O26))</f>
        <v>16.5895896929202</v>
      </c>
      <c r="L53" s="7"/>
      <c r="M53" s="8"/>
      <c r="N53" s="8"/>
      <c r="O53" s="8"/>
      <c r="P53" s="8"/>
      <c r="Q53" s="8"/>
      <c r="R53" s="8"/>
      <c r="S53" s="8"/>
      <c r="T53" s="8"/>
      <c r="U53" s="8"/>
      <c r="V53" s="8"/>
      <c r="W53" s="8"/>
      <c r="X53" s="8"/>
    </row>
    <row r="54" ht="13.65" customHeight="1">
      <c r="A54" s="88">
        <v>1200</v>
      </c>
      <c r="B54" s="28"/>
      <c r="C54" s="82"/>
      <c r="D54" s="87"/>
      <c r="E54" s="64">
        <f>SLOPE($P$13:P27,$O$13:O27)</f>
        <v>1.34146911520991</v>
      </c>
      <c r="F54" s="28"/>
      <c r="G54" s="82"/>
      <c r="H54" s="28"/>
      <c r="I54" s="82"/>
      <c r="J54" s="8"/>
      <c r="K54" s="7">
        <f>ABS(INTERCEPT($P$13:P27,$O$13:O27))</f>
        <v>18.1759823860489</v>
      </c>
      <c r="L54" s="7"/>
      <c r="M54" s="8"/>
      <c r="N54" s="8"/>
      <c r="O54" s="8"/>
      <c r="P54" s="8"/>
      <c r="Q54" s="8"/>
      <c r="R54" s="8"/>
      <c r="S54" s="8"/>
      <c r="T54" s="8"/>
      <c r="U54" s="8"/>
      <c r="V54" s="8"/>
      <c r="W54" s="8"/>
      <c r="X54" s="8"/>
    </row>
    <row r="55" ht="13.65" customHeight="1">
      <c r="A55" s="79">
        <v>1500</v>
      </c>
      <c r="B55" s="28"/>
      <c r="C55" s="82"/>
      <c r="D55" s="87"/>
      <c r="E55" s="64">
        <f>SLOPE($P$13:P28,$O$13:O28)</f>
        <v>1.33762808009372</v>
      </c>
      <c r="F55" s="28"/>
      <c r="G55" s="82"/>
      <c r="H55" s="28"/>
      <c r="I55" s="82"/>
      <c r="J55" s="8"/>
      <c r="K55" s="7">
        <f>ABS(INTERCEPT($P$13:P28,$O$13:O28))</f>
        <v>19.1503884637801</v>
      </c>
      <c r="L55" s="7"/>
      <c r="M55" s="8"/>
      <c r="N55" s="8"/>
      <c r="O55" s="8"/>
      <c r="P55" s="8"/>
      <c r="Q55" s="8"/>
      <c r="R55" s="8"/>
      <c r="S55" s="8"/>
      <c r="T55" s="8"/>
      <c r="U55" s="8"/>
      <c r="V55" s="8"/>
      <c r="W55" s="8"/>
      <c r="X55" s="8"/>
    </row>
    <row r="56" ht="13.65" customHeight="1">
      <c r="A56" s="79">
        <v>1600</v>
      </c>
      <c r="B56" s="28"/>
      <c r="C56" s="82"/>
      <c r="D56" s="87"/>
      <c r="E56" s="64">
        <f>SLOPE($P$13:P29,$O$13:O29)</f>
        <v>1.3322405609446</v>
      </c>
      <c r="F56" s="28"/>
      <c r="G56" s="82"/>
      <c r="H56" s="28"/>
      <c r="I56" s="82"/>
      <c r="J56" s="8"/>
      <c r="K56" s="7">
        <f>ABS(INTERCEPT($P$13:P29,$O$13:O29))</f>
        <v>20.8005602799929</v>
      </c>
      <c r="L56" s="7"/>
      <c r="M56" s="8"/>
      <c r="N56" s="8"/>
      <c r="O56" s="8"/>
      <c r="P56" s="8"/>
      <c r="Q56" s="8"/>
      <c r="R56" s="8"/>
      <c r="S56" s="8"/>
      <c r="T56" s="8"/>
      <c r="U56" s="8"/>
      <c r="V56" s="8"/>
      <c r="W56" s="8"/>
      <c r="X56" s="8"/>
    </row>
    <row r="57" ht="13.65" customHeight="1">
      <c r="A57" s="79">
        <v>2000</v>
      </c>
      <c r="B57" s="28"/>
      <c r="C57" s="82"/>
      <c r="D57" s="87"/>
      <c r="E57" s="64">
        <f>SLOPE($P$13:P30,$O$13:O30)</f>
        <v>1.32694326456447</v>
      </c>
      <c r="F57" s="28"/>
      <c r="G57" s="82"/>
      <c r="H57" s="28"/>
      <c r="I57" s="82"/>
      <c r="J57" s="8"/>
      <c r="K57" s="7">
        <f>ABS(INTERCEPT($P$13:P30,$O$13:O30))</f>
        <v>22.6622263554438</v>
      </c>
      <c r="L57" s="7"/>
      <c r="M57" s="8"/>
      <c r="N57" s="8"/>
      <c r="O57" s="8"/>
      <c r="P57" s="8"/>
      <c r="Q57" s="8"/>
      <c r="R57" s="8"/>
      <c r="S57" s="8"/>
      <c r="T57" s="8"/>
      <c r="U57" s="8"/>
      <c r="V57" s="8"/>
      <c r="W57" s="8"/>
      <c r="X57" s="8"/>
    </row>
    <row r="58" ht="13.65" customHeight="1">
      <c r="A58" s="79">
        <v>2400</v>
      </c>
      <c r="B58" s="28"/>
      <c r="C58" s="82"/>
      <c r="D58" s="87"/>
      <c r="E58" s="64">
        <f>SLOPE($P$13:P31,$O$13:O31)</f>
        <v>1.32399735838822</v>
      </c>
      <c r="F58" s="28"/>
      <c r="G58" s="82"/>
      <c r="H58" s="28"/>
      <c r="I58" s="82"/>
      <c r="J58" s="8"/>
      <c r="K58" s="7">
        <f>ABS(INTERCEPT($P$13:P31,$O$13:O31))</f>
        <v>23.7354481333023</v>
      </c>
      <c r="L58" s="7"/>
      <c r="M58" s="8"/>
      <c r="N58" s="8"/>
      <c r="O58" s="8"/>
      <c r="P58" s="8"/>
      <c r="Q58" s="8"/>
      <c r="R58" s="8"/>
      <c r="S58" s="8"/>
      <c r="T58" s="8"/>
      <c r="U58" s="8"/>
      <c r="V58" s="8"/>
      <c r="W58" s="8"/>
      <c r="X58" s="8"/>
    </row>
    <row r="59" ht="13.65" customHeight="1">
      <c r="A59" s="79">
        <v>2500</v>
      </c>
      <c r="B59" s="28"/>
      <c r="C59" s="82"/>
      <c r="D59" s="87"/>
      <c r="E59" s="64">
        <f>SLOPE($P$13:P32,$O$13:O32)</f>
        <v>1.32026574172625</v>
      </c>
      <c r="F59" s="28"/>
      <c r="G59" s="82"/>
      <c r="H59" s="28"/>
      <c r="I59" s="82"/>
      <c r="J59" s="8"/>
      <c r="K59" s="7">
        <f>ABS(INTERCEPT($P$13:P32,$O$13:O32))</f>
        <v>25.3381912004915</v>
      </c>
      <c r="L59" s="7"/>
      <c r="M59" s="8"/>
      <c r="N59" s="8"/>
      <c r="O59" s="8"/>
      <c r="P59" s="8"/>
      <c r="Q59" s="8"/>
      <c r="R59" s="8"/>
      <c r="S59" s="8"/>
      <c r="T59" s="8"/>
      <c r="U59" s="8"/>
      <c r="V59" s="8"/>
      <c r="W59" s="8"/>
      <c r="X59" s="8"/>
    </row>
    <row r="60" ht="13.65" customHeight="1">
      <c r="A60" s="79">
        <v>3000</v>
      </c>
      <c r="B60" s="28"/>
      <c r="C60" s="82"/>
      <c r="D60" s="87"/>
      <c r="E60" s="64">
        <f>SLOPE($P$13:P33,$O$13:O33)</f>
        <v>1.31765063760197</v>
      </c>
      <c r="F60" s="28"/>
      <c r="G60" s="82"/>
      <c r="H60" s="28"/>
      <c r="I60" s="82"/>
      <c r="J60" s="8"/>
      <c r="K60" s="7">
        <f>ABS(INTERCEPT($P$13:P33,$O$13:O33))</f>
        <v>26.5305825433867</v>
      </c>
      <c r="L60" s="7"/>
      <c r="M60" s="8"/>
      <c r="N60" s="8"/>
      <c r="O60" s="8"/>
      <c r="P60" s="8"/>
      <c r="Q60" s="8"/>
      <c r="R60" s="8"/>
      <c r="S60" s="8"/>
      <c r="T60" s="8"/>
      <c r="U60" s="8"/>
      <c r="V60" s="8"/>
      <c r="W60" s="8"/>
      <c r="X60" s="8"/>
    </row>
    <row r="61" ht="13.65" customHeight="1">
      <c r="A61" s="79">
        <v>3200</v>
      </c>
      <c r="B61" s="28"/>
      <c r="C61" s="82"/>
      <c r="D61" s="87"/>
      <c r="E61" s="64"/>
      <c r="F61" s="28"/>
      <c r="G61" s="82"/>
      <c r="H61" s="28"/>
      <c r="I61" s="82"/>
      <c r="J61" s="8"/>
      <c r="K61" s="77"/>
      <c r="L61" s="7"/>
      <c r="M61" s="8"/>
      <c r="N61" s="8"/>
      <c r="O61" s="8"/>
      <c r="P61" s="8"/>
      <c r="Q61" s="8"/>
      <c r="R61" s="8"/>
      <c r="S61" s="8"/>
      <c r="T61" s="8"/>
      <c r="U61" s="8"/>
      <c r="V61" s="8"/>
      <c r="W61" s="8"/>
      <c r="X61" s="8"/>
    </row>
    <row r="62" ht="13.65" customHeight="1">
      <c r="A62" s="89">
        <v>4000</v>
      </c>
      <c r="B62" s="28"/>
      <c r="C62" s="82"/>
      <c r="D62" s="87"/>
      <c r="E62" s="64"/>
      <c r="F62" s="28"/>
      <c r="G62" s="82"/>
      <c r="H62" s="28"/>
      <c r="I62" s="82"/>
      <c r="J62" s="8"/>
      <c r="K62" s="77"/>
      <c r="L62" s="7"/>
      <c r="M62" s="8"/>
      <c r="N62" s="8"/>
      <c r="O62" s="8"/>
      <c r="P62" s="8"/>
      <c r="Q62" s="8"/>
      <c r="R62" s="8"/>
      <c r="S62" s="8"/>
      <c r="T62" s="8"/>
      <c r="U62" s="8"/>
      <c r="V62" s="8"/>
      <c r="W62" s="8"/>
      <c r="X62" s="8"/>
    </row>
    <row r="63" ht="13.65" customHeight="1">
      <c r="A63" s="90"/>
      <c r="B63" s="28"/>
      <c r="C63" s="82"/>
      <c r="D63" s="28"/>
      <c r="E63" s="64"/>
      <c r="F63" s="28"/>
      <c r="G63" s="82"/>
      <c r="H63" s="28"/>
      <c r="I63" s="82"/>
      <c r="J63" s="8"/>
      <c r="K63" s="82"/>
      <c r="L63" s="7"/>
      <c r="M63" s="8"/>
      <c r="N63" s="8"/>
      <c r="O63" s="8"/>
      <c r="P63" s="8"/>
      <c r="Q63" s="8"/>
      <c r="R63" s="8"/>
      <c r="S63" s="8"/>
      <c r="T63" s="8"/>
      <c r="U63" s="8"/>
      <c r="V63" s="8"/>
      <c r="W63" s="8"/>
      <c r="X63" s="8"/>
    </row>
    <row r="64" ht="13.65" customHeight="1">
      <c r="A64" s="91"/>
      <c r="B64" s="28"/>
      <c r="C64" s="82"/>
      <c r="D64" s="28"/>
      <c r="E64" s="64"/>
      <c r="F64" s="28"/>
      <c r="G64" s="82"/>
      <c r="H64" s="28"/>
      <c r="I64" s="82"/>
      <c r="J64" s="8"/>
      <c r="K64" s="82"/>
      <c r="L64" s="7"/>
      <c r="M64" s="8"/>
      <c r="N64" s="8"/>
      <c r="O64" s="8"/>
      <c r="P64" s="8"/>
      <c r="Q64" s="8"/>
      <c r="R64" s="8"/>
      <c r="S64" s="8"/>
      <c r="T64" s="8"/>
      <c r="U64" s="8"/>
      <c r="V64" s="8"/>
      <c r="W64" s="8"/>
      <c r="X64" s="8"/>
    </row>
    <row r="65" ht="13.65" customHeight="1">
      <c r="A65" s="91"/>
      <c r="B65" s="28"/>
      <c r="C65" s="82"/>
      <c r="D65" s="28"/>
      <c r="E65" s="82"/>
      <c r="F65" s="28"/>
      <c r="G65" s="82"/>
      <c r="H65" s="28"/>
      <c r="I65" s="82"/>
      <c r="J65" s="8"/>
      <c r="K65" s="82"/>
      <c r="L65" s="7"/>
      <c r="M65" s="8"/>
      <c r="N65" s="8"/>
      <c r="O65" s="8"/>
      <c r="P65" s="8"/>
      <c r="Q65" s="8"/>
      <c r="R65" s="8"/>
      <c r="S65" s="8"/>
      <c r="T65" s="8"/>
      <c r="U65" s="8"/>
      <c r="V65" s="8"/>
      <c r="W65" s="8"/>
      <c r="X65" s="8"/>
    </row>
    <row r="66" ht="13.65" customHeight="1">
      <c r="A66" s="8"/>
      <c r="B66" s="8"/>
      <c r="C66" s="8"/>
      <c r="D66" s="8"/>
      <c r="E66" s="8"/>
      <c r="F66" s="8"/>
      <c r="G66" s="8"/>
      <c r="H66" s="8"/>
      <c r="I66" s="8"/>
      <c r="J66" s="8"/>
      <c r="K66" s="8"/>
      <c r="L66" s="8"/>
      <c r="M66" s="8"/>
      <c r="N66" s="8"/>
      <c r="O66" s="8"/>
      <c r="P66" s="8"/>
      <c r="Q66" s="8"/>
      <c r="R66" s="8"/>
      <c r="S66" s="8"/>
      <c r="T66" s="8"/>
      <c r="U66" s="8"/>
      <c r="V66" s="8"/>
      <c r="W66" s="8"/>
      <c r="X66" s="8"/>
    </row>
    <row r="67" ht="13.65" customHeight="1">
      <c r="A67" s="8"/>
      <c r="B67" s="8"/>
      <c r="C67" s="8"/>
      <c r="D67" s="8"/>
      <c r="E67" s="8"/>
      <c r="F67" s="8"/>
      <c r="G67" s="8"/>
      <c r="H67" s="8"/>
      <c r="I67" s="8"/>
      <c r="J67" s="8"/>
      <c r="K67" s="8"/>
      <c r="L67" s="8"/>
      <c r="M67" s="8"/>
      <c r="N67" s="8"/>
      <c r="O67" s="8"/>
      <c r="P67" s="8"/>
      <c r="Q67" s="8"/>
      <c r="R67" s="8"/>
      <c r="S67" s="8"/>
      <c r="T67" s="8"/>
      <c r="U67" s="8"/>
      <c r="V67" s="8"/>
      <c r="W67" s="8"/>
      <c r="X67" s="8"/>
    </row>
  </sheetData>
  <pageMargins left="0.75" right="0.75" top="1" bottom="1" header="0.5" footer="0.5"/>
  <pageSetup firstPageNumber="1" fitToHeight="1" fitToWidth="1" scale="100"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P40"/>
  <sheetViews>
    <sheetView workbookViewId="0" showGridLines="0" defaultGridColor="1"/>
  </sheetViews>
  <sheetFormatPr defaultColWidth="8.83333" defaultRowHeight="12" customHeight="1" outlineLevelRow="0" outlineLevelCol="0"/>
  <cols>
    <col min="1" max="1" width="11.8516" style="93" customWidth="1"/>
    <col min="2" max="3" width="8.67188" style="93" customWidth="1"/>
    <col min="4" max="5" width="8.5" style="93" customWidth="1"/>
    <col min="6" max="11" width="7.67188" style="93" customWidth="1"/>
    <col min="12" max="16" width="8.85156" style="93" customWidth="1"/>
    <col min="17" max="16384" width="8.85156" style="93" customWidth="1"/>
  </cols>
  <sheetData>
    <row r="1" ht="13" customHeight="1">
      <c r="A1" s="94"/>
      <c r="B1" s="94"/>
      <c r="C1" s="94"/>
      <c r="D1" s="94"/>
      <c r="E1" s="94"/>
      <c r="F1" s="94"/>
      <c r="G1" s="94"/>
      <c r="H1" s="94"/>
      <c r="I1" s="94"/>
      <c r="J1" s="94"/>
      <c r="K1" s="94"/>
      <c r="L1" s="8"/>
      <c r="M1" s="8"/>
      <c r="N1" s="8"/>
      <c r="O1" s="8"/>
      <c r="P1" s="8"/>
    </row>
    <row r="2" ht="27" customHeight="1">
      <c r="A2" t="s" s="95">
        <v>38</v>
      </c>
      <c r="B2" s="96"/>
      <c r="C2" s="96"/>
      <c r="D2" s="96"/>
      <c r="E2" s="96"/>
      <c r="F2" s="96"/>
      <c r="G2" s="96"/>
      <c r="H2" s="96"/>
      <c r="I2" s="96"/>
      <c r="J2" s="96"/>
      <c r="K2" s="97"/>
      <c r="L2" s="98"/>
      <c r="M2" s="8"/>
      <c r="N2" s="8"/>
      <c r="O2" s="8"/>
      <c r="P2" s="8"/>
    </row>
    <row r="3" ht="44" customHeight="1">
      <c r="A3" t="s" s="99">
        <v>39</v>
      </c>
      <c r="B3" s="100"/>
      <c r="C3" s="100"/>
      <c r="D3" s="100"/>
      <c r="E3" s="101"/>
      <c r="F3" t="s" s="102">
        <v>40</v>
      </c>
      <c r="G3" s="103"/>
      <c r="H3" s="103"/>
      <c r="I3" s="103"/>
      <c r="J3" s="103"/>
      <c r="K3" s="104"/>
      <c r="L3" s="105"/>
      <c r="M3" s="8"/>
      <c r="N3" s="8"/>
      <c r="O3" s="8"/>
      <c r="P3" s="8"/>
    </row>
    <row r="4" ht="21.75" customHeight="1">
      <c r="A4" t="s" s="106">
        <v>0</v>
      </c>
      <c r="B4" s="107"/>
      <c r="C4" s="108"/>
      <c r="D4" s="108"/>
      <c r="E4" s="108"/>
      <c r="F4" s="108"/>
      <c r="G4" s="108"/>
      <c r="H4" s="108"/>
      <c r="I4" s="108"/>
      <c r="J4" s="108"/>
      <c r="K4" s="109"/>
      <c r="L4" s="98"/>
      <c r="M4" s="8"/>
      <c r="N4" s="8"/>
      <c r="O4" s="8"/>
      <c r="P4" s="8"/>
    </row>
    <row r="5" ht="18" customHeight="1">
      <c r="A5" s="110"/>
      <c r="B5" s="111"/>
      <c r="C5" s="112"/>
      <c r="D5" s="113"/>
      <c r="E5" s="114"/>
      <c r="F5" s="114"/>
      <c r="G5" s="111"/>
      <c r="H5" s="111"/>
      <c r="I5" s="111"/>
      <c r="J5" s="114"/>
      <c r="K5" s="114"/>
      <c r="L5" s="8"/>
      <c r="M5" s="8"/>
      <c r="N5" s="8"/>
      <c r="O5" s="8"/>
      <c r="P5" s="8"/>
    </row>
    <row r="6" ht="17" customHeight="1">
      <c r="A6" t="s" s="115">
        <v>41</v>
      </c>
      <c r="B6" s="116"/>
      <c r="C6" s="117"/>
      <c r="D6" s="118"/>
      <c r="E6" s="105"/>
      <c r="F6" s="119"/>
      <c r="G6" t="s" s="115">
        <v>42</v>
      </c>
      <c r="H6" t="s" s="120">
        <v>43</v>
      </c>
      <c r="I6" s="121"/>
      <c r="J6" s="6"/>
      <c r="K6" s="7"/>
      <c r="L6" s="7"/>
      <c r="M6" s="8"/>
      <c r="N6" s="8"/>
      <c r="O6" s="8"/>
      <c r="P6" s="8"/>
    </row>
    <row r="7" ht="15" customHeight="1">
      <c r="A7" s="26"/>
      <c r="B7" s="122"/>
      <c r="C7" s="122"/>
      <c r="D7" s="26"/>
      <c r="E7" s="123"/>
      <c r="F7" s="123"/>
      <c r="G7" s="26"/>
      <c r="H7" s="124"/>
      <c r="I7" s="125"/>
      <c r="J7" s="7"/>
      <c r="K7" s="7"/>
      <c r="L7" s="7"/>
      <c r="M7" s="8"/>
      <c r="N7" s="8"/>
      <c r="O7" s="8"/>
      <c r="P7" s="8"/>
    </row>
    <row r="8" ht="15" customHeight="1">
      <c r="A8" s="126"/>
      <c r="B8" t="s" s="127">
        <v>44</v>
      </c>
      <c r="C8" s="128"/>
      <c r="D8" s="129"/>
      <c r="E8" t="s" s="127">
        <v>45</v>
      </c>
      <c r="F8" s="128"/>
      <c r="G8" s="130"/>
      <c r="H8" t="s" s="127">
        <v>46</v>
      </c>
      <c r="I8" s="128"/>
      <c r="J8" s="131"/>
      <c r="K8" s="7"/>
      <c r="L8" s="7"/>
      <c r="M8" s="8"/>
      <c r="N8" s="8"/>
      <c r="O8" s="8"/>
      <c r="P8" s="8"/>
    </row>
    <row r="9" ht="15" customHeight="1">
      <c r="A9" t="s" s="132">
        <v>47</v>
      </c>
      <c r="B9" t="s" s="133">
        <v>48</v>
      </c>
      <c r="C9" t="s" s="134">
        <v>49</v>
      </c>
      <c r="D9" s="126"/>
      <c r="E9" t="s" s="133">
        <v>48</v>
      </c>
      <c r="F9" t="s" s="134">
        <v>49</v>
      </c>
      <c r="G9" s="126"/>
      <c r="H9" t="s" s="133">
        <v>48</v>
      </c>
      <c r="I9" t="s" s="134">
        <v>49</v>
      </c>
      <c r="J9" s="7"/>
      <c r="K9" s="7"/>
      <c r="L9" s="7"/>
      <c r="M9" s="8"/>
      <c r="N9" s="8"/>
      <c r="O9" s="8"/>
      <c r="P9" s="8"/>
    </row>
    <row r="10" ht="15" customHeight="1">
      <c r="A10" s="126"/>
      <c r="B10" t="s" s="135">
        <v>50</v>
      </c>
      <c r="C10" t="s" s="136">
        <v>51</v>
      </c>
      <c r="D10" s="126"/>
      <c r="E10" t="s" s="135">
        <v>50</v>
      </c>
      <c r="F10" t="s" s="136">
        <v>51</v>
      </c>
      <c r="G10" s="126"/>
      <c r="H10" t="s" s="135">
        <v>50</v>
      </c>
      <c r="I10" t="s" s="136">
        <v>51</v>
      </c>
      <c r="J10" s="7"/>
      <c r="K10" s="7"/>
      <c r="L10" s="7"/>
      <c r="M10" s="8"/>
      <c r="N10" s="8"/>
      <c r="O10" s="8"/>
      <c r="P10" s="8"/>
    </row>
    <row r="11" ht="15" customHeight="1">
      <c r="A11" t="s" s="137">
        <v>52</v>
      </c>
      <c r="B11" s="138">
        <v>66.2</v>
      </c>
      <c r="C11" s="139">
        <v>46.3</v>
      </c>
      <c r="D11" s="126"/>
      <c r="E11" s="138">
        <v>63.3</v>
      </c>
      <c r="F11" s="139">
        <v>48.9</v>
      </c>
      <c r="G11" s="126"/>
      <c r="H11" s="138">
        <v>61.5</v>
      </c>
      <c r="I11" s="139">
        <v>52.6</v>
      </c>
      <c r="J11" s="7"/>
      <c r="K11" s="7"/>
      <c r="L11" s="7"/>
      <c r="M11" s="8"/>
      <c r="N11" s="8"/>
      <c r="O11" s="8"/>
      <c r="P11" s="8"/>
    </row>
    <row r="12" ht="15" customHeight="1">
      <c r="A12" t="s" s="137">
        <v>53</v>
      </c>
      <c r="B12" s="138">
        <v>65.8</v>
      </c>
      <c r="C12" s="139">
        <v>46.1</v>
      </c>
      <c r="D12" s="126"/>
      <c r="E12" s="138">
        <v>63.6</v>
      </c>
      <c r="F12" s="139">
        <v>48.4</v>
      </c>
      <c r="G12" s="126"/>
      <c r="H12" s="138">
        <v>62.1</v>
      </c>
      <c r="I12" s="139">
        <v>52.6</v>
      </c>
      <c r="J12" s="7"/>
      <c r="K12" s="7"/>
      <c r="L12" s="7"/>
      <c r="M12" s="8"/>
      <c r="N12" s="8"/>
      <c r="O12" s="8"/>
      <c r="P12" s="8"/>
    </row>
    <row r="13" ht="15" customHeight="1">
      <c r="A13" t="s" s="137">
        <v>54</v>
      </c>
      <c r="B13" s="138">
        <v>65.5</v>
      </c>
      <c r="C13" s="139">
        <v>46.4</v>
      </c>
      <c r="D13" s="126"/>
      <c r="E13" s="138">
        <v>63.4</v>
      </c>
      <c r="F13" s="139">
        <v>49.2</v>
      </c>
      <c r="G13" s="126"/>
      <c r="H13" s="138">
        <v>62.1</v>
      </c>
      <c r="I13" s="139">
        <v>51.8</v>
      </c>
      <c r="J13" s="7"/>
      <c r="K13" s="7"/>
      <c r="L13" s="7"/>
      <c r="M13" s="8"/>
      <c r="N13" s="8"/>
      <c r="O13" s="8"/>
      <c r="P13" s="8"/>
    </row>
    <row r="14" ht="15" customHeight="1">
      <c r="A14" t="s" s="137">
        <v>55</v>
      </c>
      <c r="B14" s="138">
        <v>65.5</v>
      </c>
      <c r="C14" s="139">
        <v>46.6</v>
      </c>
      <c r="D14" s="126"/>
      <c r="E14" s="138">
        <v>63.7</v>
      </c>
      <c r="F14" s="139">
        <v>48.8</v>
      </c>
      <c r="G14" s="126"/>
      <c r="H14" s="138">
        <v>62.5</v>
      </c>
      <c r="I14" s="139">
        <v>51.1</v>
      </c>
      <c r="J14" s="7"/>
      <c r="K14" s="7"/>
      <c r="L14" s="7"/>
      <c r="M14" s="8"/>
      <c r="N14" s="8"/>
      <c r="O14" s="8"/>
      <c r="P14" s="8"/>
    </row>
    <row r="15" ht="15" customHeight="1">
      <c r="A15" t="s" s="137">
        <v>56</v>
      </c>
      <c r="B15" s="138">
        <v>65.2</v>
      </c>
      <c r="C15" s="139">
        <v>41.6</v>
      </c>
      <c r="D15" s="126"/>
      <c r="E15" s="138">
        <v>63.5</v>
      </c>
      <c r="F15" s="139">
        <v>49.2</v>
      </c>
      <c r="G15" s="126"/>
      <c r="H15" s="138">
        <v>62.6</v>
      </c>
      <c r="I15" s="139">
        <v>51.7</v>
      </c>
      <c r="J15" s="7"/>
      <c r="K15" s="7"/>
      <c r="L15" s="7"/>
      <c r="M15" s="8"/>
      <c r="N15" s="8"/>
      <c r="O15" s="8"/>
      <c r="P15" s="8"/>
    </row>
    <row r="16" ht="15" customHeight="1">
      <c r="A16" s="140"/>
      <c r="B16" s="138"/>
      <c r="C16" s="139"/>
      <c r="D16" s="126"/>
      <c r="E16" s="138"/>
      <c r="F16" s="139"/>
      <c r="G16" s="126"/>
      <c r="H16" s="138"/>
      <c r="I16" s="139"/>
      <c r="J16" s="7"/>
      <c r="K16" s="7"/>
      <c r="L16" s="7"/>
      <c r="M16" s="8"/>
      <c r="N16" s="8"/>
      <c r="O16" s="8"/>
      <c r="P16" s="8"/>
    </row>
    <row r="17" ht="15" customHeight="1">
      <c r="A17" t="s" s="132">
        <v>57</v>
      </c>
      <c r="B17" s="138">
        <f>AVERAGE(B11:B15)</f>
        <v>65.64</v>
      </c>
      <c r="C17" s="141"/>
      <c r="D17" s="126"/>
      <c r="E17" s="138">
        <f>AVERAGE(E11:E15)</f>
        <v>63.5</v>
      </c>
      <c r="F17" s="141"/>
      <c r="G17" s="126"/>
      <c r="H17" s="138">
        <f>AVERAGE(H11:H15)</f>
        <v>62.16</v>
      </c>
      <c r="I17" s="141"/>
      <c r="J17" s="7"/>
      <c r="K17" s="7"/>
      <c r="L17" s="7"/>
      <c r="M17" s="8"/>
      <c r="N17" s="8"/>
      <c r="O17" s="8"/>
      <c r="P17" s="8"/>
    </row>
    <row r="18" ht="15" customHeight="1">
      <c r="A18" s="142"/>
      <c r="B18" s="143"/>
      <c r="C18" s="138">
        <f>AVERAGE(C11:C16)</f>
        <v>45.4</v>
      </c>
      <c r="D18" s="144"/>
      <c r="E18" s="145"/>
      <c r="F18" s="138">
        <f>AVERAGE(F11:F16)</f>
        <v>48.9</v>
      </c>
      <c r="G18" s="144"/>
      <c r="H18" s="146"/>
      <c r="I18" s="138">
        <f>AVERAGE(I11:I16)</f>
        <v>51.96</v>
      </c>
      <c r="J18" s="131"/>
      <c r="K18" s="7"/>
      <c r="L18" s="7"/>
      <c r="M18" s="8"/>
      <c r="N18" s="8"/>
      <c r="O18" s="8"/>
      <c r="P18" s="8"/>
    </row>
    <row r="19" ht="15" customHeight="1">
      <c r="A19" t="s" s="147">
        <v>58</v>
      </c>
      <c r="B19" s="148">
        <f>100/B17</f>
        <v>1.52346130408288</v>
      </c>
      <c r="C19" s="149"/>
      <c r="D19" s="8"/>
      <c r="E19" s="148">
        <f>100/E17</f>
        <v>1.5748031496063</v>
      </c>
      <c r="F19" s="150"/>
      <c r="G19" s="8"/>
      <c r="H19" s="148">
        <f>100/H17</f>
        <v>1.60875160875161</v>
      </c>
      <c r="I19" s="150"/>
      <c r="J19" s="7"/>
      <c r="K19" s="7"/>
      <c r="L19" s="7"/>
      <c r="M19" s="8"/>
      <c r="N19" s="8"/>
      <c r="O19" s="8"/>
      <c r="P19" s="8"/>
    </row>
    <row r="20" ht="15" customHeight="1">
      <c r="A20" t="s" s="147">
        <v>59</v>
      </c>
      <c r="B20" s="148">
        <f>B19/(C18/60)*0.94</f>
        <v>1.89258188436728</v>
      </c>
      <c r="C20" s="151"/>
      <c r="D20" s="8"/>
      <c r="E20" s="148">
        <f>E19/(F18/60)*0.94</f>
        <v>1.81633737500604</v>
      </c>
      <c r="F20" s="8"/>
      <c r="G20" s="8"/>
      <c r="H20" s="148">
        <f>H19/(I18/60)*0.94</f>
        <v>1.74621999102369</v>
      </c>
      <c r="I20" s="8"/>
      <c r="J20" s="7"/>
      <c r="K20" s="7"/>
      <c r="L20" s="7"/>
      <c r="M20" s="8"/>
      <c r="N20" s="8"/>
      <c r="O20" s="8"/>
      <c r="P20" s="8"/>
    </row>
    <row r="21" ht="15" customHeight="1">
      <c r="A21" t="s" s="147">
        <v>60</v>
      </c>
      <c r="B21" s="152">
        <v>144</v>
      </c>
      <c r="C21" s="151"/>
      <c r="D21" s="8"/>
      <c r="E21" s="152">
        <v>162</v>
      </c>
      <c r="F21" s="8"/>
      <c r="G21" s="8"/>
      <c r="H21" s="152">
        <v>180</v>
      </c>
      <c r="I21" s="8"/>
      <c r="J21" s="7"/>
      <c r="K21" s="7"/>
      <c r="L21" s="7"/>
      <c r="M21" s="8"/>
      <c r="N21" s="8"/>
      <c r="O21" s="8"/>
      <c r="P21" s="8"/>
    </row>
    <row r="22" ht="15" customHeight="1">
      <c r="A22" t="s" s="147">
        <v>61</v>
      </c>
      <c r="B22" s="153">
        <v>1.6</v>
      </c>
      <c r="C22" s="151"/>
      <c r="D22" s="8"/>
      <c r="E22" s="153">
        <v>4</v>
      </c>
      <c r="F22" s="8"/>
      <c r="G22" s="8"/>
      <c r="H22" s="153">
        <v>8.6</v>
      </c>
      <c r="I22" s="8"/>
      <c r="J22" s="7"/>
      <c r="K22" s="7"/>
      <c r="L22" s="7"/>
      <c r="M22" s="8"/>
      <c r="N22" s="8"/>
      <c r="O22" s="8"/>
      <c r="P22" s="8"/>
    </row>
    <row r="23" ht="15" customHeight="1">
      <c r="A23" s="142"/>
      <c r="B23" s="151"/>
      <c r="C23" s="151"/>
      <c r="D23" s="8"/>
      <c r="E23" s="8"/>
      <c r="F23" s="154"/>
      <c r="G23" s="8"/>
      <c r="H23" s="8"/>
      <c r="I23" s="7"/>
      <c r="J23" s="7"/>
      <c r="K23" s="7"/>
      <c r="L23" s="7"/>
      <c r="M23" s="8"/>
      <c r="N23" s="8"/>
      <c r="O23" s="8"/>
      <c r="P23" s="8"/>
    </row>
    <row r="24" ht="15" customHeight="1">
      <c r="A24" s="155"/>
      <c r="B24" s="156"/>
      <c r="C24" s="156"/>
      <c r="D24" s="123"/>
      <c r="E24" s="123"/>
      <c r="F24" s="157"/>
      <c r="G24" s="123"/>
      <c r="H24" s="123"/>
      <c r="I24" s="158"/>
      <c r="J24" s="158"/>
      <c r="K24" s="7"/>
      <c r="L24" s="7"/>
      <c r="M24" s="8"/>
      <c r="N24" s="8"/>
      <c r="O24" s="8"/>
      <c r="P24" s="8"/>
    </row>
    <row r="25" ht="18" customHeight="1">
      <c r="A25" t="s" s="159">
        <v>62</v>
      </c>
      <c r="B25" s="160"/>
      <c r="C25" s="160"/>
      <c r="D25" s="160"/>
      <c r="E25" s="160"/>
      <c r="F25" s="161"/>
      <c r="G25" s="161"/>
      <c r="H25" s="128"/>
      <c r="I25" s="162"/>
      <c r="J25" s="161"/>
      <c r="K25" s="144"/>
      <c r="L25" s="8"/>
      <c r="M25" s="8"/>
      <c r="N25" s="8"/>
      <c r="O25" s="8"/>
      <c r="P25" s="8"/>
    </row>
    <row r="26" ht="18" customHeight="1">
      <c r="A26" t="s" s="163">
        <v>5</v>
      </c>
      <c r="B26" t="s" s="133">
        <v>63</v>
      </c>
      <c r="C26" t="s" s="133">
        <v>64</v>
      </c>
      <c r="D26" s="164"/>
      <c r="E26" t="s" s="133">
        <v>65</v>
      </c>
      <c r="F26" t="s" s="133">
        <v>49</v>
      </c>
      <c r="G26" t="s" s="133">
        <v>66</v>
      </c>
      <c r="H26" s="161"/>
      <c r="I26" s="161"/>
      <c r="J26" s="161"/>
      <c r="K26" s="144"/>
      <c r="L26" s="8"/>
      <c r="M26" s="8"/>
      <c r="N26" s="8"/>
      <c r="O26" s="8"/>
      <c r="P26" s="8"/>
    </row>
    <row r="27" ht="18" customHeight="1">
      <c r="A27" t="s" s="165">
        <v>7</v>
      </c>
      <c r="B27" s="161"/>
      <c r="C27" t="s" s="135">
        <v>67</v>
      </c>
      <c r="D27" s="160"/>
      <c r="E27" t="s" s="135">
        <v>68</v>
      </c>
      <c r="F27" t="s" s="135">
        <v>69</v>
      </c>
      <c r="G27" t="s" s="135">
        <v>70</v>
      </c>
      <c r="H27" s="161"/>
      <c r="I27" s="161"/>
      <c r="J27" s="161"/>
      <c r="K27" s="144"/>
      <c r="L27" s="8"/>
      <c r="M27" s="8"/>
      <c r="N27" s="8"/>
      <c r="O27" s="8"/>
      <c r="P27" s="8"/>
    </row>
    <row r="28" ht="18" customHeight="1">
      <c r="A28" s="166">
        <v>2</v>
      </c>
      <c r="B28" t="s" s="133">
        <v>71</v>
      </c>
      <c r="C28" s="167">
        <f>FORECAST(A28,B19:E19,B22:E22)</f>
        <v>1.53201827833678</v>
      </c>
      <c r="D28" s="168"/>
      <c r="E28" s="169">
        <f>FORECAST(A28,B21:E21,B22:E22)</f>
        <v>147</v>
      </c>
      <c r="F28" s="138">
        <f>FORECAST(A28,C18:F18,B22:E22)</f>
        <v>45.9833333333333</v>
      </c>
      <c r="G28" s="167">
        <f>(C28/(F28/60)*0.94)</f>
        <v>1.87906845012384</v>
      </c>
      <c r="H28" t="s" s="170">
        <v>72</v>
      </c>
      <c r="I28" s="171"/>
      <c r="J28" s="172"/>
      <c r="K28" s="173"/>
      <c r="L28" s="174"/>
      <c r="M28" s="174"/>
      <c r="N28" s="8"/>
      <c r="O28" s="8"/>
      <c r="P28" s="8"/>
    </row>
    <row r="29" ht="18" customHeight="1">
      <c r="A29" s="166">
        <v>4</v>
      </c>
      <c r="B29" t="s" s="133">
        <v>73</v>
      </c>
      <c r="C29" s="167">
        <f>FORECAST(A29,E19:H19,E22:H22)</f>
        <v>1.5748031496063</v>
      </c>
      <c r="D29" s="168"/>
      <c r="E29" s="169">
        <f>FORECAST(A29,E21:H21,E22:H22)</f>
        <v>162</v>
      </c>
      <c r="F29" s="138">
        <f>FORECAST(A29,F18:I18,E22:H22)</f>
        <v>48.9</v>
      </c>
      <c r="G29" s="167">
        <f>(C29/(F29/60)*0.94)</f>
        <v>1.81633737500604</v>
      </c>
      <c r="H29" t="s" s="170">
        <v>31</v>
      </c>
      <c r="I29" s="171"/>
      <c r="J29" s="172"/>
      <c r="K29" s="173"/>
      <c r="L29" s="174"/>
      <c r="M29" s="174"/>
      <c r="N29" s="8"/>
      <c r="O29" s="8"/>
      <c r="P29" s="8"/>
    </row>
    <row r="30" ht="18" customHeight="1">
      <c r="A30" s="166">
        <v>8</v>
      </c>
      <c r="B30" t="s" s="133">
        <v>74</v>
      </c>
      <c r="C30" s="167">
        <f>FORECAST(A30,E19:H19,E22:H22)</f>
        <v>1.60432354886309</v>
      </c>
      <c r="D30" s="168"/>
      <c r="E30" s="169">
        <f>FORECAST(A30,E21:H21,E22:H22)</f>
        <v>177.652173913043</v>
      </c>
      <c r="F30" s="138">
        <f>FORECAST(A30,F18:I18,E22:H22)</f>
        <v>51.5608695652174</v>
      </c>
      <c r="G30" s="167">
        <f>(C30/(F30/60)*0.94)</f>
        <v>1.75489375797723</v>
      </c>
      <c r="H30" t="s" s="170">
        <v>75</v>
      </c>
      <c r="I30" s="171"/>
      <c r="J30" s="172"/>
      <c r="K30" s="173"/>
      <c r="L30" s="174"/>
      <c r="M30" s="174"/>
      <c r="N30" s="8"/>
      <c r="O30" s="8"/>
      <c r="P30" s="8"/>
    </row>
    <row r="31" ht="18" customHeight="1">
      <c r="A31" s="150"/>
      <c r="B31" s="175"/>
      <c r="C31" s="176"/>
      <c r="D31" s="176"/>
      <c r="E31" s="176"/>
      <c r="F31" s="175"/>
      <c r="G31" s="150"/>
      <c r="H31" s="150"/>
      <c r="I31" s="150"/>
      <c r="J31" s="150"/>
      <c r="K31" s="8"/>
      <c r="L31" s="8"/>
      <c r="M31" s="8"/>
      <c r="N31" s="8"/>
      <c r="O31" s="8"/>
      <c r="P31" s="8"/>
    </row>
    <row r="32" ht="18" customHeight="1">
      <c r="A32" s="8"/>
      <c r="B32" s="177"/>
      <c r="C32" s="178"/>
      <c r="D32" s="178"/>
      <c r="E32" s="178"/>
      <c r="F32" s="177"/>
      <c r="G32" s="8"/>
      <c r="H32" s="8"/>
      <c r="I32" s="8"/>
      <c r="J32" s="8"/>
      <c r="K32" s="8"/>
      <c r="L32" s="8"/>
      <c r="M32" s="8"/>
      <c r="N32" s="8"/>
      <c r="O32" s="8"/>
      <c r="P32" s="8"/>
    </row>
    <row r="33" ht="18" customHeight="1">
      <c r="A33" t="s" s="179">
        <v>76</v>
      </c>
      <c r="B33" s="8"/>
      <c r="C33" t="s" s="180">
        <v>77</v>
      </c>
      <c r="D33" s="177"/>
      <c r="E33" t="s" s="180">
        <v>73</v>
      </c>
      <c r="F33" s="181"/>
      <c r="G33" t="s" s="180">
        <v>74</v>
      </c>
      <c r="H33" s="8"/>
      <c r="I33" s="8"/>
      <c r="J33" s="8"/>
      <c r="K33" s="8"/>
      <c r="L33" s="8"/>
      <c r="M33" s="8"/>
      <c r="N33" s="8"/>
      <c r="O33" s="8"/>
      <c r="P33" s="8"/>
    </row>
    <row r="34" ht="18" customHeight="1">
      <c r="A34" s="182"/>
      <c r="B34" s="8"/>
      <c r="C34" s="183"/>
      <c r="D34" s="8"/>
      <c r="E34" s="183"/>
      <c r="F34" s="142"/>
      <c r="G34" s="183"/>
      <c r="H34" s="8"/>
      <c r="I34" s="8"/>
      <c r="J34" s="8"/>
      <c r="K34" s="8"/>
      <c r="L34" s="8"/>
      <c r="M34" s="8"/>
      <c r="N34" s="8"/>
      <c r="O34" s="8"/>
      <c r="P34" s="8"/>
    </row>
    <row r="35" ht="18" customHeight="1">
      <c r="A35" t="s" s="184">
        <v>78</v>
      </c>
      <c r="B35" s="185"/>
      <c r="C35" s="186">
        <f>MOD(50/((C28*0.96)+10%),60)</f>
        <v>31.8321797865116</v>
      </c>
      <c r="D35" s="185"/>
      <c r="E35" s="186">
        <f>MOD(50/((C29*0.96)+10%),60)</f>
        <v>31.0210063507572</v>
      </c>
      <c r="F35" s="185"/>
      <c r="G35" s="186">
        <f>MOD(50/((C30*0.96)+12%),60)</f>
        <v>30.1177494330512</v>
      </c>
      <c r="H35" s="8"/>
      <c r="I35" s="8"/>
      <c r="J35" s="8"/>
      <c r="K35" s="8"/>
      <c r="L35" s="8"/>
      <c r="M35" s="8"/>
      <c r="N35" s="8"/>
      <c r="O35" s="8"/>
      <c r="P35" s="8"/>
    </row>
    <row r="36" ht="15" customHeight="1">
      <c r="A36" t="s" s="184">
        <v>79</v>
      </c>
      <c r="B36" s="185">
        <f>TRUNC((C35+C39)/60)</f>
        <v>1</v>
      </c>
      <c r="C36" s="186">
        <f>MOD((C35+C39),60)</f>
        <v>5.8287280456336</v>
      </c>
      <c r="D36" s="185">
        <f>TRUNC((E35+E39)/60)</f>
        <v>1</v>
      </c>
      <c r="E36" s="186">
        <f>MOD((E35+E39),60)</f>
        <v>4.0939230174239</v>
      </c>
      <c r="F36" s="185">
        <f>TRUNC((G35+G39)/60)</f>
        <v>1</v>
      </c>
      <c r="G36" s="186">
        <f>MOD((G35+G39),60)</f>
        <v>2.5821069937455</v>
      </c>
      <c r="H36" s="8"/>
      <c r="I36" s="8"/>
      <c r="J36" s="8"/>
      <c r="K36" s="8"/>
      <c r="L36" s="8"/>
      <c r="M36" s="8"/>
      <c r="N36" s="8"/>
      <c r="O36" s="8"/>
      <c r="P36" s="8"/>
    </row>
    <row r="37" ht="15" customHeight="1">
      <c r="A37" t="s" s="184">
        <v>80</v>
      </c>
      <c r="B37" s="185">
        <f>TRUNC((C35+(2*C39))/60)</f>
        <v>1</v>
      </c>
      <c r="C37" s="186">
        <f>MOD((C35+(2*C39)),60)</f>
        <v>39.8252763047556</v>
      </c>
      <c r="D37" s="185">
        <f>TRUNC((E35+(2*E39))/60)</f>
        <v>1</v>
      </c>
      <c r="E37" s="186">
        <f>MOD((E35+(2*E39)),60)</f>
        <v>37.1668396840906</v>
      </c>
      <c r="F37" s="185">
        <f>TRUNC((G35+(2*G39))/60)</f>
        <v>1</v>
      </c>
      <c r="G37" s="186">
        <f>MOD((G35+(2*G39)),60)</f>
        <v>35.0464645544398</v>
      </c>
      <c r="H37" s="8"/>
      <c r="I37" s="8"/>
      <c r="J37" s="8"/>
      <c r="K37" s="8"/>
      <c r="L37" s="8"/>
      <c r="M37" s="8"/>
      <c r="N37" s="8"/>
      <c r="O37" s="8"/>
      <c r="P37" s="8"/>
    </row>
    <row r="38" ht="15" customHeight="1">
      <c r="A38" t="s" s="184">
        <v>81</v>
      </c>
      <c r="B38" s="185">
        <f>TRUNC((C35+(3*C39))/60)</f>
        <v>2</v>
      </c>
      <c r="C38" s="186">
        <f>MOD((C35+(3*C39)),60)</f>
        <v>13.8218245638776</v>
      </c>
      <c r="D38" s="185">
        <f>TRUNC((E35+(3*E39))/60)</f>
        <v>2</v>
      </c>
      <c r="E38" s="186">
        <f>MOD((E35+(3*E39)),60)</f>
        <v>10.2397563507573</v>
      </c>
      <c r="F38" s="185">
        <f>TRUNC((G35+(3*G39))/60)</f>
        <v>2</v>
      </c>
      <c r="G38" s="186">
        <f>MOD((G35+(3*G39)),60)</f>
        <v>7.5108221151341</v>
      </c>
      <c r="H38" s="8"/>
      <c r="I38" s="8"/>
      <c r="J38" s="8"/>
      <c r="K38" s="8"/>
      <c r="L38" s="8"/>
      <c r="M38" s="8"/>
      <c r="N38" s="8"/>
      <c r="O38" s="8"/>
      <c r="P38" s="8"/>
    </row>
    <row r="39" ht="15" customHeight="1">
      <c r="A39" t="s" s="187">
        <v>82</v>
      </c>
      <c r="B39" s="8"/>
      <c r="C39" s="186">
        <f>(50/(C28*0.96))</f>
        <v>33.996548259122</v>
      </c>
      <c r="D39" s="8"/>
      <c r="E39" s="186">
        <f>(50/(C29*0.96))</f>
        <v>33.0729166666667</v>
      </c>
      <c r="F39" s="188"/>
      <c r="G39" s="186">
        <f>(50/(C30*0.96))</f>
        <v>32.4643575606943</v>
      </c>
      <c r="H39" s="8"/>
      <c r="I39" s="8"/>
      <c r="J39" s="8"/>
      <c r="K39" s="8"/>
      <c r="L39" s="8"/>
      <c r="M39" s="8"/>
      <c r="N39" s="8"/>
      <c r="O39" s="8"/>
      <c r="P39" s="8"/>
    </row>
    <row r="40" ht="15" customHeight="1">
      <c r="A40" s="8"/>
      <c r="B40" s="8"/>
      <c r="C40" s="8"/>
      <c r="D40" s="8"/>
      <c r="E40" s="8"/>
      <c r="F40" s="177"/>
      <c r="G40" s="8"/>
      <c r="H40" s="8"/>
      <c r="I40" s="8"/>
      <c r="J40" s="8"/>
      <c r="K40" s="8"/>
      <c r="L40" s="8"/>
      <c r="M40" s="8"/>
      <c r="N40" s="8"/>
      <c r="O40" s="8"/>
      <c r="P40" s="8"/>
    </row>
  </sheetData>
  <mergeCells count="9">
    <mergeCell ref="B8:C8"/>
    <mergeCell ref="E8:F8"/>
    <mergeCell ref="H8:I8"/>
    <mergeCell ref="A2:K2"/>
    <mergeCell ref="A3:E3"/>
    <mergeCell ref="F3:K3"/>
    <mergeCell ref="B4:K4"/>
    <mergeCell ref="B6:D6"/>
    <mergeCell ref="H6:I6"/>
  </mergeCells>
  <pageMargins left="0.75" right="0.75" top="1" bottom="1" header="0.5" footer="0.5"/>
  <pageSetup firstPageNumber="1" fitToHeight="1" fitToWidth="1" scale="100" useFirstPageNumber="0" orientation="portrait" pageOrder="downThenOver"/>
  <headerFooter>
    <oddFooter>&amp;C&amp;"Helvetica Neue,Regular"&amp;12&amp;K000000&amp;P</oddFooter>
  </headerFooter>
  <drawing r:id="rId1"/>
</worksheet>
</file>

<file path=xl/worksheets/sheet4.xml><?xml version="1.0" encoding="utf-8"?>
<worksheet xmlns:r="http://schemas.openxmlformats.org/officeDocument/2006/relationships" xmlns="http://schemas.openxmlformats.org/spreadsheetml/2006/main">
  <dimension ref="A1:M30"/>
  <sheetViews>
    <sheetView workbookViewId="0" showGridLines="0" defaultGridColor="1"/>
  </sheetViews>
  <sheetFormatPr defaultColWidth="8.83333" defaultRowHeight="12" customHeight="1" outlineLevelRow="0" outlineLevelCol="0"/>
  <cols>
    <col min="1" max="1" width="10.6719" style="189" customWidth="1"/>
    <col min="2" max="3" width="8.67188" style="189" customWidth="1"/>
    <col min="4" max="5" width="8.5" style="189" customWidth="1"/>
    <col min="6" max="11" width="7.67188" style="189" customWidth="1"/>
    <col min="12" max="13" width="8.85156" style="189" customWidth="1"/>
    <col min="14" max="16384" width="8.85156" style="189" customWidth="1"/>
  </cols>
  <sheetData>
    <row r="1" ht="27" customHeight="1">
      <c r="A1" t="s" s="95">
        <v>83</v>
      </c>
      <c r="B1" s="96"/>
      <c r="C1" s="96"/>
      <c r="D1" s="96"/>
      <c r="E1" s="96"/>
      <c r="F1" s="96"/>
      <c r="G1" s="96"/>
      <c r="H1" s="96"/>
      <c r="I1" s="96"/>
      <c r="J1" s="96"/>
      <c r="K1" s="97"/>
      <c r="L1" s="98"/>
      <c r="M1" s="8"/>
    </row>
    <row r="2" ht="41" customHeight="1">
      <c r="A2" t="s" s="190">
        <v>39</v>
      </c>
      <c r="B2" s="191"/>
      <c r="C2" s="191"/>
      <c r="D2" s="191"/>
      <c r="E2" s="192"/>
      <c r="F2" t="s" s="99">
        <v>40</v>
      </c>
      <c r="G2" s="193"/>
      <c r="H2" s="193"/>
      <c r="I2" s="193"/>
      <c r="J2" s="193"/>
      <c r="K2" s="194"/>
      <c r="L2" s="105"/>
      <c r="M2" s="8"/>
    </row>
    <row r="3" ht="18" customHeight="1">
      <c r="A3" s="195"/>
      <c r="B3" s="196"/>
      <c r="C3" s="196"/>
      <c r="D3" s="196"/>
      <c r="E3" s="196"/>
      <c r="F3" s="197"/>
      <c r="G3" s="198"/>
      <c r="H3" s="198"/>
      <c r="I3" s="198"/>
      <c r="J3" s="198"/>
      <c r="K3" s="198"/>
      <c r="L3" s="105"/>
      <c r="M3" s="8"/>
    </row>
    <row r="4" ht="18" customHeight="1">
      <c r="A4" s="199"/>
      <c r="B4" s="200"/>
      <c r="C4" s="200"/>
      <c r="D4" s="200"/>
      <c r="E4" s="200"/>
      <c r="F4" s="200"/>
      <c r="G4" s="200"/>
      <c r="H4" s="200"/>
      <c r="I4" s="200"/>
      <c r="J4" s="200"/>
      <c r="K4" s="200"/>
      <c r="L4" s="105"/>
      <c r="M4" s="8"/>
    </row>
    <row r="5" ht="18" customHeight="1">
      <c r="A5" s="200"/>
      <c r="B5" t="s" s="201">
        <v>19</v>
      </c>
      <c r="C5" s="202"/>
      <c r="D5" s="202"/>
      <c r="E5" t="s" s="203">
        <v>84</v>
      </c>
      <c r="F5" t="s" s="203">
        <v>65</v>
      </c>
      <c r="G5" t="s" s="203">
        <v>85</v>
      </c>
      <c r="H5" t="s" s="203">
        <v>49</v>
      </c>
      <c r="I5" t="s" s="203">
        <v>66</v>
      </c>
      <c r="J5" s="200"/>
      <c r="K5" s="200"/>
      <c r="L5" s="105"/>
      <c r="M5" s="8"/>
    </row>
    <row r="6" ht="18" customHeight="1">
      <c r="A6" s="204"/>
      <c r="B6" t="s" s="205">
        <v>86</v>
      </c>
      <c r="C6" t="s" s="205">
        <v>87</v>
      </c>
      <c r="D6" t="s" s="205">
        <v>88</v>
      </c>
      <c r="E6" t="s" s="206">
        <v>7</v>
      </c>
      <c r="F6" t="s" s="206">
        <v>68</v>
      </c>
      <c r="G6" t="s" s="206">
        <v>67</v>
      </c>
      <c r="H6" t="s" s="206">
        <v>69</v>
      </c>
      <c r="I6" t="s" s="206">
        <v>70</v>
      </c>
      <c r="J6" s="200"/>
      <c r="K6" s="200"/>
      <c r="L6" s="105"/>
      <c r="M6" s="8"/>
    </row>
    <row r="7" ht="18" customHeight="1">
      <c r="A7" t="s" s="201">
        <v>52</v>
      </c>
      <c r="B7" s="207">
        <v>3</v>
      </c>
      <c r="C7" s="208">
        <v>22</v>
      </c>
      <c r="D7" s="209">
        <v>9</v>
      </c>
      <c r="E7" s="210">
        <v>2.2</v>
      </c>
      <c r="F7" s="211">
        <v>132</v>
      </c>
      <c r="G7" s="212">
        <f>300/((B7*60)+C7+(D7/10))</f>
        <v>1.47856086742238</v>
      </c>
      <c r="H7" s="208">
        <v>36.2</v>
      </c>
      <c r="I7" s="213">
        <f>(G7/(H7/60)*0.96)</f>
        <v>2.35262723656158</v>
      </c>
      <c r="J7" s="200"/>
      <c r="K7" s="200"/>
      <c r="L7" s="105"/>
      <c r="M7" s="8"/>
    </row>
    <row r="8" ht="18" customHeight="1">
      <c r="A8" t="s" s="201">
        <v>53</v>
      </c>
      <c r="B8" s="207">
        <v>3</v>
      </c>
      <c r="C8" s="208">
        <v>15</v>
      </c>
      <c r="D8" s="209">
        <v>9</v>
      </c>
      <c r="E8" s="210">
        <v>2.6</v>
      </c>
      <c r="F8" s="211">
        <v>156</v>
      </c>
      <c r="G8" s="212">
        <f>300/((B8*60)+C8+(D8/10))</f>
        <v>1.53139356814701</v>
      </c>
      <c r="H8" s="208">
        <v>37.7</v>
      </c>
      <c r="I8" s="213">
        <f>(G8/(H8/60)*0.96)</f>
        <v>2.33974189722196</v>
      </c>
      <c r="J8" s="200"/>
      <c r="K8" s="200"/>
      <c r="L8" s="105"/>
      <c r="M8" s="8"/>
    </row>
    <row r="9" ht="18" customHeight="1">
      <c r="A9" t="s" s="201">
        <v>54</v>
      </c>
      <c r="B9" s="207">
        <v>3</v>
      </c>
      <c r="C9" s="208">
        <v>8</v>
      </c>
      <c r="D9" s="209">
        <v>8</v>
      </c>
      <c r="E9" s="210">
        <v>3.6</v>
      </c>
      <c r="F9" s="211">
        <v>174</v>
      </c>
      <c r="G9" s="212">
        <f>300/((B9*60)+C9+(D9/10))</f>
        <v>1.58898305084746</v>
      </c>
      <c r="H9" s="208">
        <v>38.5</v>
      </c>
      <c r="I9" s="213">
        <f>(G9/(H9/60)*0.96)</f>
        <v>2.37728373321594</v>
      </c>
      <c r="J9" s="200"/>
      <c r="K9" s="200"/>
      <c r="L9" s="105"/>
      <c r="M9" s="8"/>
    </row>
    <row r="10" ht="18" customHeight="1">
      <c r="A10" t="s" s="201">
        <v>55</v>
      </c>
      <c r="B10" s="207">
        <v>3</v>
      </c>
      <c r="C10" s="208">
        <v>3</v>
      </c>
      <c r="D10" s="209">
        <v>9</v>
      </c>
      <c r="E10" s="210">
        <v>4.8</v>
      </c>
      <c r="F10" s="211">
        <v>180</v>
      </c>
      <c r="G10" s="212">
        <f>300/((B10*60)+C10+(D10/10))</f>
        <v>1.63132137030995</v>
      </c>
      <c r="H10" s="208">
        <v>40.5</v>
      </c>
      <c r="I10" s="213">
        <f>(G10/(H10/60)*0.96)</f>
        <v>2.32010150444082</v>
      </c>
      <c r="J10" s="200"/>
      <c r="K10" s="200"/>
      <c r="L10" s="105"/>
      <c r="M10" s="8"/>
    </row>
    <row r="11" ht="18" customHeight="1">
      <c r="A11" t="s" s="201">
        <v>56</v>
      </c>
      <c r="B11" s="207">
        <v>2</v>
      </c>
      <c r="C11" s="208">
        <v>56</v>
      </c>
      <c r="D11" s="209">
        <v>4</v>
      </c>
      <c r="E11" s="210">
        <v>6.7</v>
      </c>
      <c r="F11" s="211">
        <v>192</v>
      </c>
      <c r="G11" s="212">
        <f>300/((B11*60)+C11+(D11/10))</f>
        <v>1.70068027210884</v>
      </c>
      <c r="H11" s="208">
        <v>37.8</v>
      </c>
      <c r="I11" s="213">
        <f>(G11/(H11/60)*0.96)</f>
        <v>2.59151279559442</v>
      </c>
      <c r="J11" s="200"/>
      <c r="K11" s="200"/>
      <c r="L11" s="105"/>
      <c r="M11" t="s" s="214">
        <v>89</v>
      </c>
    </row>
    <row r="12" ht="18" customHeight="1">
      <c r="A12" s="200"/>
      <c r="B12" s="200"/>
      <c r="C12" s="200"/>
      <c r="D12" s="200"/>
      <c r="E12" s="200"/>
      <c r="F12" s="200"/>
      <c r="G12" s="200"/>
      <c r="H12" s="200"/>
      <c r="I12" s="200"/>
      <c r="J12" s="200"/>
      <c r="K12" s="200"/>
      <c r="L12" s="105"/>
      <c r="M12" s="8"/>
    </row>
    <row r="13" ht="18" customHeight="1">
      <c r="A13" t="s" s="215">
        <v>62</v>
      </c>
      <c r="B13" s="216"/>
      <c r="C13" s="216"/>
      <c r="D13" s="217"/>
      <c r="E13" s="218"/>
      <c r="F13" s="200"/>
      <c r="G13" s="200"/>
      <c r="H13" s="200"/>
      <c r="I13" s="200"/>
      <c r="J13" s="200"/>
      <c r="K13" s="200"/>
      <c r="L13" s="105"/>
      <c r="M13" s="8"/>
    </row>
    <row r="14" ht="18" customHeight="1">
      <c r="A14" s="200"/>
      <c r="B14" s="200"/>
      <c r="C14" s="200"/>
      <c r="D14" s="200"/>
      <c r="E14" s="200"/>
      <c r="F14" s="200"/>
      <c r="G14" s="200"/>
      <c r="H14" s="200"/>
      <c r="I14" s="200"/>
      <c r="J14" s="200"/>
      <c r="K14" s="200"/>
      <c r="L14" s="105"/>
      <c r="M14" s="8"/>
    </row>
    <row r="15" ht="18" customHeight="1">
      <c r="A15" t="s" s="203">
        <v>5</v>
      </c>
      <c r="B15" t="s" s="203">
        <v>63</v>
      </c>
      <c r="C15" t="s" s="203">
        <v>64</v>
      </c>
      <c r="D15" t="s" s="203">
        <v>65</v>
      </c>
      <c r="E15" t="s" s="203">
        <v>49</v>
      </c>
      <c r="F15" t="s" s="203">
        <v>66</v>
      </c>
      <c r="G15" s="200"/>
      <c r="H15" s="200"/>
      <c r="I15" s="200"/>
      <c r="J15" s="200"/>
      <c r="K15" s="200"/>
      <c r="L15" s="105"/>
      <c r="M15" s="8"/>
    </row>
    <row r="16" ht="18" customHeight="1">
      <c r="A16" t="s" s="206">
        <v>7</v>
      </c>
      <c r="B16" s="200"/>
      <c r="C16" t="s" s="206">
        <v>67</v>
      </c>
      <c r="D16" t="s" s="206">
        <v>68</v>
      </c>
      <c r="E16" t="s" s="206">
        <v>69</v>
      </c>
      <c r="F16" t="s" s="206">
        <v>70</v>
      </c>
      <c r="G16" s="200"/>
      <c r="H16" s="200"/>
      <c r="I16" s="200"/>
      <c r="J16" s="200"/>
      <c r="K16" s="200"/>
      <c r="L16" s="105"/>
      <c r="M16" s="8"/>
    </row>
    <row r="17" ht="18" customHeight="1">
      <c r="A17" s="207">
        <v>2</v>
      </c>
      <c r="B17" t="s" s="203">
        <v>71</v>
      </c>
      <c r="C17" s="212">
        <f>FORECAST(A17,G8:G9,E8:E9)</f>
        <v>1.49683987852674</v>
      </c>
      <c r="D17" s="219">
        <f>FORECAST(A17,F8:F9,E8:E9)</f>
        <v>145.2</v>
      </c>
      <c r="E17" s="220">
        <f>FORECAST(A17,H8:H9,E8:E9)</f>
        <v>37.22</v>
      </c>
      <c r="F17" s="212">
        <f>(C17/(E17/60)*0.96)</f>
        <v>2.31644215483988</v>
      </c>
      <c r="G17" t="s" s="221">
        <v>90</v>
      </c>
      <c r="H17" s="222"/>
      <c r="I17" s="222"/>
      <c r="J17" s="223"/>
      <c r="K17" s="200"/>
      <c r="L17" s="224"/>
      <c r="M17" s="174"/>
    </row>
    <row r="18" ht="18" customHeight="1">
      <c r="A18" s="207">
        <v>4</v>
      </c>
      <c r="B18" t="s" s="203">
        <v>73</v>
      </c>
      <c r="C18" s="212">
        <f>FORECAST(A18,G10:G11,E10:E11)</f>
        <v>1.6021176221841</v>
      </c>
      <c r="D18" s="219">
        <f>FORECAST(A18,F10:F11,E10:E11)</f>
        <v>174.947368421053</v>
      </c>
      <c r="E18" s="220">
        <f>FORECAST(A18,H10:H11,E10:E11)</f>
        <v>41.6368421052632</v>
      </c>
      <c r="F18" s="212">
        <f>(C18/(E18/60)*0.96)</f>
        <v>2.21635384365855</v>
      </c>
      <c r="G18" t="s" s="221">
        <v>91</v>
      </c>
      <c r="H18" s="222"/>
      <c r="I18" s="222"/>
      <c r="J18" s="223"/>
      <c r="K18" s="200"/>
      <c r="L18" s="224"/>
      <c r="M18" s="174"/>
    </row>
    <row r="19" ht="18" customHeight="1">
      <c r="A19" s="207">
        <v>8</v>
      </c>
      <c r="B19" t="s" s="203">
        <v>74</v>
      </c>
      <c r="C19" s="212">
        <f>FORECAST(A19,G10:G11,E10:E11)</f>
        <v>1.74813636281334</v>
      </c>
      <c r="D19" s="219">
        <f>FORECAST(A19,F10:F11,E10:E11)</f>
        <v>200.210526315789</v>
      </c>
      <c r="E19" s="220">
        <f>FORECAST(A19,H10:H11,E10:E11)</f>
        <v>35.9526315789474</v>
      </c>
      <c r="F19" s="212">
        <f>(C19/(E19/60)*0.96)</f>
        <v>2.80070331644403</v>
      </c>
      <c r="G19" t="s" s="221">
        <v>92</v>
      </c>
      <c r="H19" s="222"/>
      <c r="I19" s="222"/>
      <c r="J19" s="223"/>
      <c r="K19" s="200"/>
      <c r="L19" s="224"/>
      <c r="M19" s="174"/>
    </row>
    <row r="20" ht="18" customHeight="1">
      <c r="A20" s="200"/>
      <c r="B20" s="223"/>
      <c r="C20" s="202"/>
      <c r="D20" s="202"/>
      <c r="E20" s="202"/>
      <c r="F20" s="223"/>
      <c r="G20" s="200"/>
      <c r="H20" s="200"/>
      <c r="I20" s="200"/>
      <c r="J20" s="200"/>
      <c r="K20" s="200"/>
      <c r="L20" s="105"/>
      <c r="M20" s="8"/>
    </row>
    <row r="21" ht="18" customHeight="1">
      <c r="A21" s="200"/>
      <c r="B21" s="223"/>
      <c r="C21" s="202"/>
      <c r="D21" s="202"/>
      <c r="E21" s="202"/>
      <c r="F21" s="223"/>
      <c r="G21" s="200"/>
      <c r="H21" s="200"/>
      <c r="I21" s="200"/>
      <c r="J21" s="200"/>
      <c r="K21" s="200"/>
      <c r="L21" s="105"/>
      <c r="M21" s="8"/>
    </row>
    <row r="22" ht="18" customHeight="1">
      <c r="A22" t="s" s="225">
        <v>76</v>
      </c>
      <c r="B22" s="200"/>
      <c r="C22" t="s" s="226">
        <v>77</v>
      </c>
      <c r="D22" s="223"/>
      <c r="E22" t="s" s="226">
        <v>73</v>
      </c>
      <c r="F22" s="204"/>
      <c r="G22" t="s" s="226">
        <v>74</v>
      </c>
      <c r="H22" s="200"/>
      <c r="I22" s="200"/>
      <c r="J22" s="200"/>
      <c r="K22" s="200"/>
      <c r="L22" s="105"/>
      <c r="M22" s="8"/>
    </row>
    <row r="23" ht="18" customHeight="1">
      <c r="A23" s="227"/>
      <c r="B23" s="200"/>
      <c r="C23" s="228"/>
      <c r="D23" s="200"/>
      <c r="E23" s="228"/>
      <c r="F23" s="229"/>
      <c r="G23" s="228"/>
      <c r="H23" s="200"/>
      <c r="I23" s="200"/>
      <c r="J23" s="200"/>
      <c r="K23" s="200"/>
      <c r="L23" s="105"/>
      <c r="M23" s="8"/>
    </row>
    <row r="24" ht="18" customHeight="1">
      <c r="A24" t="s" s="205">
        <v>78</v>
      </c>
      <c r="B24" s="230"/>
      <c r="C24" s="231">
        <f>MOD(50/((C17)+10%),60)</f>
        <v>31.3118432676735</v>
      </c>
      <c r="D24" s="230"/>
      <c r="E24" s="231">
        <f>MOD(50/((C18)+10%),60)</f>
        <v>29.3751732244225</v>
      </c>
      <c r="F24" s="230"/>
      <c r="G24" s="231">
        <f>MOD(50/((C19)+12%),60)</f>
        <v>26.7646414872531</v>
      </c>
      <c r="H24" s="200"/>
      <c r="I24" s="200"/>
      <c r="J24" s="200"/>
      <c r="K24" s="200"/>
      <c r="L24" s="105"/>
      <c r="M24" s="8"/>
    </row>
    <row r="25" ht="18" customHeight="1">
      <c r="A25" t="s" s="205">
        <v>79</v>
      </c>
      <c r="B25" s="230">
        <f>TRUNC((C24+C29)/60)</f>
        <v>1</v>
      </c>
      <c r="C25" s="231">
        <f>MOD((C24+C29),60)</f>
        <v>5.3972580773604</v>
      </c>
      <c r="D25" s="230">
        <f>TRUNC((E24+E29)/60)</f>
        <v>1</v>
      </c>
      <c r="E25" s="231">
        <f>MOD((E24+E29),60)</f>
        <v>1.220780224058</v>
      </c>
      <c r="F25" s="230">
        <f>TRUNC((G24+G29)/60)</f>
        <v>0</v>
      </c>
      <c r="G25" s="231">
        <f>MOD((G24+G29),60)</f>
        <v>55.9502412199629</v>
      </c>
      <c r="H25" s="200"/>
      <c r="I25" s="200"/>
      <c r="J25" s="200"/>
      <c r="K25" s="200"/>
      <c r="L25" s="105"/>
      <c r="M25" s="8"/>
    </row>
    <row r="26" ht="18" customHeight="1">
      <c r="A26" t="s" s="205">
        <v>80</v>
      </c>
      <c r="B26" s="230">
        <f>TRUNC((C24+(2*C29))/60)</f>
        <v>1</v>
      </c>
      <c r="C26" s="231">
        <f>MOD((C24+(2*C29)),60)</f>
        <v>39.4826728870473</v>
      </c>
      <c r="D26" s="230">
        <f>TRUNC((E24+(2*E29))/60)</f>
        <v>1</v>
      </c>
      <c r="E26" s="231">
        <f>MOD((E24+(2*E29)),60)</f>
        <v>33.0663872236935</v>
      </c>
      <c r="F26" s="230">
        <f>TRUNC((G24+(2*G29))/60)</f>
        <v>1</v>
      </c>
      <c r="G26" s="231">
        <f>MOD((G24+(2*G29)),60)</f>
        <v>25.1358409526727</v>
      </c>
      <c r="H26" s="200"/>
      <c r="I26" s="200"/>
      <c r="J26" s="200"/>
      <c r="K26" s="200"/>
      <c r="L26" s="105"/>
      <c r="M26" s="8"/>
    </row>
    <row r="27" ht="18" customHeight="1">
      <c r="A27" t="s" s="205">
        <v>81</v>
      </c>
      <c r="B27" s="230">
        <f>TRUNC((C24+(3*C29))/60)</f>
        <v>2</v>
      </c>
      <c r="C27" s="231">
        <f>MOD((C24+(3*C29)),60)</f>
        <v>13.5680876967342</v>
      </c>
      <c r="D27" s="230">
        <f>TRUNC((E24+(3*E29))/60)</f>
        <v>2</v>
      </c>
      <c r="E27" s="231">
        <f>MOD((E24+(3*E29)),60)</f>
        <v>4.911994223329</v>
      </c>
      <c r="F27" s="230">
        <f>TRUNC((G24+(3*G29))/60)</f>
        <v>1</v>
      </c>
      <c r="G27" s="231">
        <f>MOD((G24+(3*G29)),60)</f>
        <v>54.3214406853825</v>
      </c>
      <c r="H27" s="200"/>
      <c r="I27" s="200"/>
      <c r="J27" s="200"/>
      <c r="K27" s="200"/>
      <c r="L27" s="105"/>
      <c r="M27" s="8"/>
    </row>
    <row r="28" ht="18" customHeight="1">
      <c r="A28" t="s" s="205">
        <v>93</v>
      </c>
      <c r="B28" s="230">
        <f>TRUNC((C24+(5*C29))/60)</f>
        <v>3</v>
      </c>
      <c r="C28" s="231">
        <f>MOD((C24+(5*C29)),60)</f>
        <v>21.738917316108</v>
      </c>
      <c r="D28" s="230">
        <f>TRUNC((E24+(5*E29))/60)</f>
        <v>3</v>
      </c>
      <c r="E28" s="231">
        <f>MOD((E24+(5*E29)),60)</f>
        <v>8.603208222599999</v>
      </c>
      <c r="F28" s="230">
        <f>TRUNC((G24+(5*G29))/60)</f>
        <v>2</v>
      </c>
      <c r="G28" s="231">
        <f>MOD((G24+(5*G29)),60)</f>
        <v>52.6926401508021</v>
      </c>
      <c r="H28" s="200"/>
      <c r="I28" s="200"/>
      <c r="J28" s="200"/>
      <c r="K28" s="200"/>
      <c r="L28" s="105"/>
      <c r="M28" s="8"/>
    </row>
    <row r="29" ht="18" customHeight="1">
      <c r="A29" t="s" s="232">
        <v>82</v>
      </c>
      <c r="B29" s="200"/>
      <c r="C29" s="231">
        <f>(50/(C17*0.98))</f>
        <v>34.0854148096869</v>
      </c>
      <c r="D29" s="200"/>
      <c r="E29" s="231">
        <f>(50/(C18*0.98))</f>
        <v>31.8456069996355</v>
      </c>
      <c r="F29" s="210"/>
      <c r="G29" s="231">
        <f>(50/(C19*0.98))</f>
        <v>29.1855997327098</v>
      </c>
      <c r="H29" s="200"/>
      <c r="I29" s="200"/>
      <c r="J29" s="200"/>
      <c r="K29" s="200"/>
      <c r="L29" s="105"/>
      <c r="M29" s="8"/>
    </row>
    <row r="30" ht="18" customHeight="1">
      <c r="A30" s="26"/>
      <c r="B30" s="26"/>
      <c r="C30" s="26"/>
      <c r="D30" s="26"/>
      <c r="E30" s="26"/>
      <c r="F30" s="233"/>
      <c r="G30" s="26"/>
      <c r="H30" s="26"/>
      <c r="I30" s="26"/>
      <c r="J30" s="26"/>
      <c r="K30" s="26"/>
      <c r="L30" s="8"/>
      <c r="M30" s="8"/>
    </row>
  </sheetData>
  <mergeCells count="5">
    <mergeCell ref="A1:K1"/>
    <mergeCell ref="A2:E2"/>
    <mergeCell ref="F2:K2"/>
    <mergeCell ref="A13:D13"/>
    <mergeCell ref="B5:D5"/>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worksheet>
</file>

<file path=xl/worksheets/sheet5.xml><?xml version="1.0" encoding="utf-8"?>
<worksheet xmlns:r="http://schemas.openxmlformats.org/officeDocument/2006/relationships" xmlns="http://schemas.openxmlformats.org/spreadsheetml/2006/main">
  <dimension ref="A1:V17"/>
  <sheetViews>
    <sheetView workbookViewId="0" showGridLines="0" defaultGridColor="1"/>
  </sheetViews>
  <sheetFormatPr defaultColWidth="10.8333" defaultRowHeight="15" customHeight="1" outlineLevelRow="0" outlineLevelCol="0"/>
  <cols>
    <col min="1" max="8" width="9.5" style="234" customWidth="1"/>
    <col min="9" max="9" width="11.3516" style="234" customWidth="1"/>
    <col min="10" max="11" width="8.5" style="234" customWidth="1"/>
    <col min="12" max="17" width="11.8516" style="234" customWidth="1"/>
    <col min="18" max="22" width="10.8516" style="234" customWidth="1"/>
    <col min="23" max="16384" width="10.8516" style="234" customWidth="1"/>
  </cols>
  <sheetData>
    <row r="1" ht="19.45" customHeight="1">
      <c r="A1" t="s" s="235">
        <v>94</v>
      </c>
      <c r="B1" s="236"/>
      <c r="C1" s="236"/>
      <c r="D1" s="236"/>
      <c r="E1" s="237"/>
      <c r="F1" t="s" s="238">
        <v>95</v>
      </c>
      <c r="G1" s="239"/>
      <c r="H1" s="239"/>
      <c r="I1" s="239"/>
      <c r="J1" s="239"/>
      <c r="K1" s="240"/>
      <c r="L1" s="241"/>
      <c r="M1" s="242"/>
      <c r="N1" s="242"/>
      <c r="O1" s="242"/>
      <c r="P1" s="242"/>
      <c r="Q1" s="242"/>
      <c r="R1" s="8"/>
      <c r="S1" s="8"/>
      <c r="T1" s="8"/>
      <c r="U1" s="8"/>
      <c r="V1" s="8"/>
    </row>
    <row r="2" ht="15.35" customHeight="1">
      <c r="A2" s="243"/>
      <c r="B2" t="s" s="244">
        <v>96</v>
      </c>
      <c r="C2" t="s" s="245">
        <v>97</v>
      </c>
      <c r="D2" s="246"/>
      <c r="E2" s="246"/>
      <c r="F2" t="s" s="244">
        <v>98</v>
      </c>
      <c r="G2" t="s" s="245">
        <v>99</v>
      </c>
      <c r="H2" t="s" s="245">
        <v>100</v>
      </c>
      <c r="I2" t="s" s="245">
        <v>101</v>
      </c>
      <c r="J2" t="s" s="245">
        <v>102</v>
      </c>
      <c r="K2" t="s" s="245">
        <v>103</v>
      </c>
      <c r="L2" t="s" s="247">
        <v>104</v>
      </c>
      <c r="M2" t="s" s="247">
        <v>105</v>
      </c>
      <c r="N2" t="s" s="248">
        <v>106</v>
      </c>
      <c r="O2" t="s" s="247">
        <v>107</v>
      </c>
      <c r="P2" t="s" s="247">
        <v>108</v>
      </c>
      <c r="Q2" t="s" s="248">
        <v>109</v>
      </c>
      <c r="R2" s="249"/>
      <c r="S2" s="250"/>
      <c r="T2" s="250"/>
      <c r="U2" s="250"/>
      <c r="V2" s="250"/>
    </row>
    <row r="3" ht="30" customHeight="1">
      <c r="A3" s="251"/>
      <c r="B3" s="252"/>
      <c r="C3" t="s" s="253">
        <v>110</v>
      </c>
      <c r="D3" t="s" s="253">
        <v>111</v>
      </c>
      <c r="E3" t="s" s="253">
        <v>57</v>
      </c>
      <c r="F3" s="254"/>
      <c r="G3" s="246"/>
      <c r="H3" s="246"/>
      <c r="I3" s="255"/>
      <c r="J3" s="255"/>
      <c r="K3" s="255"/>
      <c r="L3" s="256"/>
      <c r="M3" s="257"/>
      <c r="N3" s="254"/>
      <c r="O3" s="256"/>
      <c r="P3" s="256"/>
      <c r="Q3" s="258"/>
      <c r="R3" s="249"/>
      <c r="S3" s="250"/>
      <c r="T3" s="250"/>
      <c r="U3" s="250"/>
      <c r="V3" s="250"/>
    </row>
    <row r="4" ht="17.9" customHeight="1">
      <c r="A4" t="s" s="259">
        <v>112</v>
      </c>
      <c r="B4" s="260">
        <v>31.5</v>
      </c>
      <c r="C4" s="261">
        <v>46.5</v>
      </c>
      <c r="D4" s="261">
        <v>45.5</v>
      </c>
      <c r="E4" s="262">
        <f>AVERAGE(C4:D4)</f>
        <v>46</v>
      </c>
      <c r="F4" s="261">
        <v>14.2</v>
      </c>
      <c r="G4" s="263">
        <f>((20/$F4)/($E4/60))</f>
        <v>1.83710961420698</v>
      </c>
      <c r="H4" s="264">
        <v>43</v>
      </c>
      <c r="I4" s="263">
        <f>((20/$F4)^2)*$G4</f>
        <v>3.64433567587181</v>
      </c>
      <c r="J4" s="265">
        <f>B4+H4</f>
        <v>74.5</v>
      </c>
      <c r="K4" s="266">
        <f>(1+(1/((E4/60)*2)))*H4</f>
        <v>71.04347826086961</v>
      </c>
      <c r="L4" s="265">
        <f>H4/(E4/60*2)</f>
        <v>28.0434782608696</v>
      </c>
      <c r="M4" s="265">
        <f>L4*(20/F4)</f>
        <v>39.4978567054501</v>
      </c>
      <c r="N4" s="267">
        <f>M4/L4</f>
        <v>1.40845070422535</v>
      </c>
      <c r="O4" s="265">
        <f>B4-L4</f>
        <v>3.4565217391304</v>
      </c>
      <c r="P4" s="265">
        <f>50-M4</f>
        <v>10.5021432945499</v>
      </c>
      <c r="Q4" s="267">
        <f>P4/O4</f>
        <v>3.03835592169371</v>
      </c>
      <c r="R4" s="105"/>
      <c r="S4" s="8"/>
      <c r="T4" s="8"/>
      <c r="U4" s="8"/>
      <c r="V4" s="8"/>
    </row>
    <row r="5" ht="17.9" customHeight="1">
      <c r="A5" t="s" s="259">
        <v>113</v>
      </c>
      <c r="B5" s="260">
        <v>31.3</v>
      </c>
      <c r="C5" s="261">
        <v>43.6</v>
      </c>
      <c r="D5" s="261">
        <v>45.9</v>
      </c>
      <c r="E5" s="262">
        <f>AVERAGE(C5:D5)</f>
        <v>44.75</v>
      </c>
      <c r="F5" s="261">
        <v>14.5</v>
      </c>
      <c r="G5" s="263">
        <f>((20/$F5)/($E5/60))</f>
        <v>1.8493546522828</v>
      </c>
      <c r="H5" s="264">
        <v>45</v>
      </c>
      <c r="I5" s="263">
        <f>((20/$F5)^2)*$G5</f>
        <v>3.51839172848095</v>
      </c>
      <c r="J5" s="265">
        <f>B5+H5</f>
        <v>76.3</v>
      </c>
      <c r="K5" s="266">
        <f>(1+(1/((E5/60)*2)))*H5</f>
        <v>75.1675977653631</v>
      </c>
      <c r="L5" s="265">
        <f>H5/(E5/60*2)</f>
        <v>30.1675977653631</v>
      </c>
      <c r="M5" s="265">
        <f>L5*(20/F5)</f>
        <v>41.6104796763629</v>
      </c>
      <c r="N5" s="267">
        <f>M5/L5</f>
        <v>1.37931034482759</v>
      </c>
      <c r="O5" s="265">
        <f>B5-L5</f>
        <v>1.1324022346369</v>
      </c>
      <c r="P5" s="265">
        <f>50-M5</f>
        <v>8.3895203236371</v>
      </c>
      <c r="Q5" s="267">
        <f>P5/O5</f>
        <v>7.408604528520</v>
      </c>
      <c r="R5" s="105"/>
      <c r="S5" s="8"/>
      <c r="T5" s="8"/>
      <c r="U5" s="8"/>
      <c r="V5" s="8"/>
    </row>
    <row r="6" ht="17.9" customHeight="1">
      <c r="A6" t="s" s="259">
        <v>114</v>
      </c>
      <c r="B6" s="260">
        <v>31</v>
      </c>
      <c r="C6" s="261">
        <v>47</v>
      </c>
      <c r="D6" s="261">
        <v>46.1</v>
      </c>
      <c r="E6" s="262">
        <f>AVERAGE(C6:D6)</f>
        <v>46.55</v>
      </c>
      <c r="F6" s="261">
        <v>13.3</v>
      </c>
      <c r="G6" s="263">
        <f>((20/$F6)/($E6/60))</f>
        <v>1.93825056734209</v>
      </c>
      <c r="H6" s="264">
        <v>45</v>
      </c>
      <c r="I6" s="263">
        <f>((20/$F6)^2)*$G6</f>
        <v>4.38295113876893</v>
      </c>
      <c r="J6" s="265">
        <f>B6+H6</f>
        <v>76</v>
      </c>
      <c r="K6" s="266">
        <f>(1+(1/((E6/60)*2)))*H6</f>
        <v>74.00107411385611</v>
      </c>
      <c r="L6" s="265">
        <f>H6/(E6/60*2)</f>
        <v>29.0010741138561</v>
      </c>
      <c r="M6" s="265">
        <f>L6*(20/F6)</f>
        <v>43.6106377651971</v>
      </c>
      <c r="N6" s="267">
        <f>M6/L6</f>
        <v>1.50375939849624</v>
      </c>
      <c r="O6" s="265">
        <f>B6-L6</f>
        <v>1.9989258861439</v>
      </c>
      <c r="P6" s="265">
        <f>50-M6</f>
        <v>6.3893622348029</v>
      </c>
      <c r="Q6" s="267">
        <f>P6/O6</f>
        <v>3.19639776496593</v>
      </c>
      <c r="R6" s="105"/>
      <c r="S6" s="8"/>
      <c r="T6" s="8"/>
      <c r="U6" s="8"/>
      <c r="V6" s="8"/>
    </row>
    <row r="7" ht="17.9" customHeight="1">
      <c r="A7" t="s" s="259">
        <v>115</v>
      </c>
      <c r="B7" s="260">
        <v>30.4</v>
      </c>
      <c r="C7" s="261">
        <v>47.1</v>
      </c>
      <c r="D7" s="261">
        <v>46.6</v>
      </c>
      <c r="E7" s="262">
        <f>AVERAGE(C7:D7)</f>
        <v>46.85</v>
      </c>
      <c r="F7" s="261">
        <v>13.1</v>
      </c>
      <c r="G7" s="263">
        <f>((20/$F7)/($E7/60))</f>
        <v>1.95524126862571</v>
      </c>
      <c r="H7" s="264">
        <v>44</v>
      </c>
      <c r="I7" s="263">
        <f>((20/$F7)^2)*$G7</f>
        <v>4.55740637171659</v>
      </c>
      <c r="J7" s="265">
        <f>B7+H7</f>
        <v>74.40000000000001</v>
      </c>
      <c r="K7" s="266">
        <f>(1+(1/((E7/60)*2)))*H7</f>
        <v>72.17502668089649</v>
      </c>
      <c r="L7" s="265">
        <f>H7/(E7/60*2)</f>
        <v>28.1750266808965</v>
      </c>
      <c r="M7" s="265">
        <f>L7*(20/F7)</f>
        <v>43.0153079097656</v>
      </c>
      <c r="N7" s="267">
        <f>M7/L7</f>
        <v>1.52671755725191</v>
      </c>
      <c r="O7" s="265">
        <f>B7-L7</f>
        <v>2.2249733191035</v>
      </c>
      <c r="P7" s="265">
        <f>50-M7</f>
        <v>6.9846920902344</v>
      </c>
      <c r="Q7" s="267">
        <f>P7/O7</f>
        <v>3.13922510003343</v>
      </c>
      <c r="R7" s="105"/>
      <c r="S7" s="8"/>
      <c r="T7" s="8"/>
      <c r="U7" s="8"/>
      <c r="V7" s="8"/>
    </row>
    <row r="8" ht="17.9" customHeight="1">
      <c r="A8" t="s" s="259">
        <v>116</v>
      </c>
      <c r="B8" s="260">
        <v>30.6</v>
      </c>
      <c r="C8" s="261">
        <v>47.6</v>
      </c>
      <c r="D8" s="261">
        <v>46.9</v>
      </c>
      <c r="E8" s="262">
        <f>AVERAGE(C8:D8)</f>
        <v>47.25</v>
      </c>
      <c r="F8" s="261">
        <v>13.3</v>
      </c>
      <c r="G8" s="263">
        <f>((20/$F8)/($E8/60))</f>
        <v>1.90953574412221</v>
      </c>
      <c r="H8" s="264">
        <v>44</v>
      </c>
      <c r="I8" s="263">
        <f>((20/$F8)^2)*$G8</f>
        <v>4.31801852930569</v>
      </c>
      <c r="J8" s="265">
        <f>B8+H8</f>
        <v>74.59999999999999</v>
      </c>
      <c r="K8" s="266">
        <f>(1+(1/((E8/60)*2)))*H8</f>
        <v>71.93650793650789</v>
      </c>
      <c r="L8" s="265">
        <f>H8/(E8/60*2)</f>
        <v>27.9365079365079</v>
      </c>
      <c r="M8" s="265">
        <f>L8*(20/F8)</f>
        <v>42.0097863706886</v>
      </c>
      <c r="N8" s="267">
        <f>M8/L8</f>
        <v>1.50375939849624</v>
      </c>
      <c r="O8" s="265">
        <f>B8-L8</f>
        <v>2.6634920634921</v>
      </c>
      <c r="P8" s="265">
        <f>50-M8</f>
        <v>7.9902136293114</v>
      </c>
      <c r="Q8" s="267">
        <f>P8/O8</f>
        <v>2.99990142220865</v>
      </c>
      <c r="R8" s="105"/>
      <c r="S8" s="8"/>
      <c r="T8" s="8"/>
      <c r="U8" s="8"/>
      <c r="V8" s="8"/>
    </row>
    <row r="9" ht="17.9" customHeight="1">
      <c r="A9" t="s" s="259">
        <v>117</v>
      </c>
      <c r="B9" s="260">
        <v>30.5</v>
      </c>
      <c r="C9" s="261">
        <v>49.2</v>
      </c>
      <c r="D9" s="261">
        <v>46</v>
      </c>
      <c r="E9" s="262">
        <f>AVERAGE(C9:D9)</f>
        <v>47.6</v>
      </c>
      <c r="F9" s="261">
        <v>13.2</v>
      </c>
      <c r="G9" s="263">
        <f>((20/$F9)/($E9/60))</f>
        <v>1.90985485103132</v>
      </c>
      <c r="H9" s="264">
        <v>43</v>
      </c>
      <c r="I9" s="263">
        <f>((20/$F9)^2)*$G9</f>
        <v>4.38442344130239</v>
      </c>
      <c r="J9" s="265">
        <f>B9+H9</f>
        <v>73.5</v>
      </c>
      <c r="K9" s="266">
        <f>(1+(1/((E9/60)*2)))*H9</f>
        <v>70.1008403361345</v>
      </c>
      <c r="L9" s="265">
        <f>H9/(E9/60*2)</f>
        <v>27.1008403361345</v>
      </c>
      <c r="M9" s="265">
        <f>L9*(20/F9)</f>
        <v>41.0618792971735</v>
      </c>
      <c r="N9" s="267">
        <f>M9/L9</f>
        <v>1.51515151515152</v>
      </c>
      <c r="O9" s="265">
        <f>B9-L9</f>
        <v>3.3991596638655</v>
      </c>
      <c r="P9" s="265">
        <f>50-M9</f>
        <v>8.938120702826501</v>
      </c>
      <c r="Q9" s="267">
        <f>P9/O9</f>
        <v>2.62950893358805</v>
      </c>
      <c r="R9" s="105"/>
      <c r="S9" s="8"/>
      <c r="T9" s="8"/>
      <c r="U9" s="8"/>
      <c r="V9" s="8"/>
    </row>
    <row r="10" ht="17.9" customHeight="1">
      <c r="A10" t="s" s="268">
        <v>57</v>
      </c>
      <c r="B10" s="269">
        <f>AVERAGE(B4:B9)</f>
        <v>30.8833333333333</v>
      </c>
      <c r="C10" s="265">
        <f>AVERAGE(C4:C9)</f>
        <v>46.8333333333333</v>
      </c>
      <c r="D10" s="265">
        <f>AVERAGE(D4:D9)</f>
        <v>46.1666666666667</v>
      </c>
      <c r="E10" s="269">
        <f>AVERAGE(E4:E9)</f>
        <v>46.5</v>
      </c>
      <c r="F10" s="270">
        <f>AVERAGE(F4:F9)</f>
        <v>13.6</v>
      </c>
      <c r="G10" s="271">
        <f>AVERAGE(G4:G9)</f>
        <v>1.89989111626852</v>
      </c>
      <c r="H10" s="272">
        <f>AVERAGE(H4:H9)</f>
        <v>44</v>
      </c>
      <c r="I10" s="271">
        <f>AVERAGE(I4:I9)</f>
        <v>4.13425448090773</v>
      </c>
      <c r="J10" s="270">
        <f>AVERAGE(J4:J9)</f>
        <v>74.8833333333333</v>
      </c>
      <c r="K10" s="273">
        <f>AVERAGE(K4:K9)</f>
        <v>72.4040875156046</v>
      </c>
      <c r="L10" s="270">
        <f>AVERAGE(L4:L9)</f>
        <v>28.4040875156046</v>
      </c>
      <c r="M10" s="270">
        <f>AVERAGE(M4:M9)</f>
        <v>41.8009912874396</v>
      </c>
      <c r="N10" s="274">
        <f>AVERAGE(N4:N9)</f>
        <v>1.47285815307481</v>
      </c>
      <c r="O10" s="270">
        <f>AVERAGE(O4:O9)</f>
        <v>2.47924581772872</v>
      </c>
      <c r="P10" s="270">
        <f>AVERAGE(P4:P9)</f>
        <v>8.199008712560371</v>
      </c>
      <c r="Q10" s="274">
        <f>AVERAGE(Q4:Q9)</f>
        <v>3.73533227850163</v>
      </c>
      <c r="R10" s="105"/>
      <c r="S10" s="8"/>
      <c r="T10" s="8"/>
      <c r="U10" s="8"/>
      <c r="V10" s="8"/>
    </row>
    <row r="11" ht="13.65" customHeight="1">
      <c r="A11" s="275"/>
      <c r="B11" s="276"/>
      <c r="C11" s="276"/>
      <c r="D11" s="276"/>
      <c r="E11" s="276"/>
      <c r="F11" s="276"/>
      <c r="G11" s="276"/>
      <c r="H11" s="276"/>
      <c r="I11" s="276"/>
      <c r="J11" s="276"/>
      <c r="K11" s="276"/>
      <c r="L11" s="277"/>
      <c r="M11" s="26"/>
      <c r="N11" s="26"/>
      <c r="O11" s="26"/>
      <c r="P11" s="26"/>
      <c r="Q11" s="26"/>
      <c r="R11" s="8"/>
      <c r="S11" s="8"/>
      <c r="T11" s="8"/>
      <c r="U11" s="8"/>
      <c r="V11" s="8"/>
    </row>
    <row r="12" ht="90.35" customHeight="1">
      <c r="A12" t="s" s="278">
        <v>118</v>
      </c>
      <c r="B12" s="279"/>
      <c r="C12" s="279"/>
      <c r="D12" s="279"/>
      <c r="E12" s="279"/>
      <c r="F12" s="279"/>
      <c r="G12" s="279"/>
      <c r="H12" s="279"/>
      <c r="I12" s="279"/>
      <c r="J12" s="280"/>
      <c r="K12" s="281"/>
      <c r="L12" s="105"/>
      <c r="M12" s="8"/>
      <c r="N12" s="8"/>
      <c r="O12" s="8"/>
      <c r="P12" s="8"/>
      <c r="Q12" s="8"/>
      <c r="R12" s="8"/>
      <c r="S12" s="8"/>
      <c r="T12" s="8"/>
      <c r="U12" s="8"/>
      <c r="V12" s="8"/>
    </row>
    <row r="13" ht="13.65" customHeight="1">
      <c r="A13" s="282"/>
      <c r="B13" s="282"/>
      <c r="C13" s="282"/>
      <c r="D13" s="282"/>
      <c r="E13" s="282"/>
      <c r="F13" s="282"/>
      <c r="G13" s="26"/>
      <c r="H13" s="26"/>
      <c r="I13" s="26"/>
      <c r="J13" s="26"/>
      <c r="K13" s="26"/>
      <c r="L13" s="8"/>
      <c r="M13" s="8"/>
      <c r="N13" s="8"/>
      <c r="O13" s="8"/>
      <c r="P13" s="8"/>
      <c r="Q13" s="8"/>
      <c r="R13" s="8"/>
      <c r="S13" s="8"/>
      <c r="T13" s="8"/>
      <c r="U13" s="8"/>
      <c r="V13" s="8"/>
    </row>
    <row r="14" ht="19.45" customHeight="1">
      <c r="A14" t="s" s="283">
        <v>119</v>
      </c>
      <c r="B14" s="284"/>
      <c r="C14" s="285">
        <f>B10+1</f>
        <v>31.8833333333333</v>
      </c>
      <c r="D14" s="285">
        <f>C14+2</f>
        <v>33.8833333333333</v>
      </c>
      <c r="E14" s="285">
        <f>C14+4</f>
        <v>35.8833333333333</v>
      </c>
      <c r="F14" s="285">
        <f>C14+6</f>
        <v>37.8833333333333</v>
      </c>
      <c r="G14" s="286"/>
      <c r="H14" s="242"/>
      <c r="I14" s="242"/>
      <c r="J14" s="242"/>
      <c r="K14" s="242"/>
      <c r="L14" s="8"/>
      <c r="M14" s="8"/>
      <c r="N14" s="8"/>
      <c r="O14" s="8"/>
      <c r="P14" s="8"/>
      <c r="Q14" s="8"/>
      <c r="R14" s="8"/>
      <c r="S14" s="8"/>
      <c r="T14" s="8"/>
      <c r="U14" s="8"/>
      <c r="V14" s="8"/>
    </row>
    <row r="15" ht="19.45" customHeight="1">
      <c r="A15" t="s" s="287">
        <v>120</v>
      </c>
      <c r="B15" s="288"/>
      <c r="C15" s="289">
        <f>$J$10-C14</f>
        <v>43</v>
      </c>
      <c r="D15" s="289">
        <f>$J$10-D14</f>
        <v>41</v>
      </c>
      <c r="E15" s="289">
        <f>$J$10-E14</f>
        <v>39</v>
      </c>
      <c r="F15" s="289">
        <f>$J$10-F14</f>
        <v>37</v>
      </c>
      <c r="G15" t="s" s="290">
        <v>121</v>
      </c>
      <c r="H15" s="291"/>
      <c r="I15" s="291"/>
      <c r="J15" s="291"/>
      <c r="K15" s="292"/>
      <c r="L15" s="105"/>
      <c r="M15" s="8"/>
      <c r="N15" s="8"/>
      <c r="O15" s="8"/>
      <c r="P15" s="8"/>
      <c r="Q15" s="8"/>
      <c r="R15" s="8"/>
      <c r="S15" s="8"/>
      <c r="T15" s="8"/>
      <c r="U15" s="8"/>
      <c r="V15" s="8"/>
    </row>
    <row r="16" ht="40.85" customHeight="1">
      <c r="A16" s="288"/>
      <c r="B16" s="288"/>
      <c r="C16" s="289">
        <f>(($K$10+$J$10)/2)-C14</f>
        <v>41.7603770911357</v>
      </c>
      <c r="D16" s="289">
        <f>(($K$10+$J$10)/2)-D14</f>
        <v>39.7603770911357</v>
      </c>
      <c r="E16" s="289">
        <f>(($K$10+$J$10)/2)-E14</f>
        <v>37.7603770911357</v>
      </c>
      <c r="F16" s="289">
        <f>(($K$10+$J$10)/2)-F14</f>
        <v>35.7603770911357</v>
      </c>
      <c r="G16" s="293"/>
      <c r="H16" s="294"/>
      <c r="I16" s="294"/>
      <c r="J16" s="294"/>
      <c r="K16" s="295"/>
      <c r="L16" s="105"/>
      <c r="M16" s="8"/>
      <c r="N16" s="8"/>
      <c r="O16" s="8"/>
      <c r="P16" s="8"/>
      <c r="Q16" s="8"/>
      <c r="R16" s="8"/>
      <c r="S16" s="8"/>
      <c r="T16" s="8"/>
      <c r="U16" s="8"/>
      <c r="V16" s="8"/>
    </row>
    <row r="17" ht="15.35" customHeight="1">
      <c r="A17" s="26"/>
      <c r="B17" s="26"/>
      <c r="C17" s="26"/>
      <c r="D17" s="26"/>
      <c r="E17" s="26"/>
      <c r="F17" s="26"/>
      <c r="G17" s="26"/>
      <c r="H17" s="26"/>
      <c r="I17" s="26"/>
      <c r="J17" s="26"/>
      <c r="K17" s="26"/>
      <c r="L17" s="250"/>
      <c r="M17" s="250"/>
      <c r="N17" s="250"/>
      <c r="O17" s="250"/>
      <c r="P17" s="250"/>
      <c r="Q17" s="250"/>
      <c r="R17" s="8"/>
      <c r="S17" s="8"/>
      <c r="T17" s="8"/>
      <c r="U17" s="8"/>
      <c r="V17" s="8"/>
    </row>
  </sheetData>
  <mergeCells count="21">
    <mergeCell ref="A15:B16"/>
    <mergeCell ref="G15:K16"/>
    <mergeCell ref="K2:K3"/>
    <mergeCell ref="L2:L3"/>
    <mergeCell ref="M2:M3"/>
    <mergeCell ref="G2:G3"/>
    <mergeCell ref="O2:O3"/>
    <mergeCell ref="I2:I3"/>
    <mergeCell ref="Q2:Q3"/>
    <mergeCell ref="A12:K12"/>
    <mergeCell ref="A14:B14"/>
    <mergeCell ref="H2:H3"/>
    <mergeCell ref="N2:N3"/>
    <mergeCell ref="J2:J3"/>
    <mergeCell ref="P2:P3"/>
    <mergeCell ref="A1:E1"/>
    <mergeCell ref="F1:K1"/>
    <mergeCell ref="A2:A3"/>
    <mergeCell ref="B2:B3"/>
    <mergeCell ref="C2:E2"/>
    <mergeCell ref="F2:F3"/>
  </mergeCells>
  <pageMargins left="0.75" right="0.75" top="1" bottom="1" header="0.5" footer="0.5"/>
  <pageSetup firstPageNumber="1" fitToHeight="1" fitToWidth="1" scale="100" useFirstPageNumber="0" orientation="landscape"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dimension ref="A1:V17"/>
  <sheetViews>
    <sheetView workbookViewId="0" showGridLines="0" defaultGridColor="1"/>
  </sheetViews>
  <sheetFormatPr defaultColWidth="10.8333" defaultRowHeight="15" customHeight="1" outlineLevelRow="0" outlineLevelCol="0"/>
  <cols>
    <col min="1" max="8" width="9.5" style="296" customWidth="1"/>
    <col min="9" max="9" width="11.3516" style="296" customWidth="1"/>
    <col min="10" max="11" width="8.5" style="296" customWidth="1"/>
    <col min="12" max="17" width="11.8516" style="296" customWidth="1"/>
    <col min="18" max="22" width="10.8516" style="296" customWidth="1"/>
    <col min="23" max="16384" width="10.8516" style="296" customWidth="1"/>
  </cols>
  <sheetData>
    <row r="1" ht="39.45" customHeight="1">
      <c r="A1" t="s" s="235">
        <v>122</v>
      </c>
      <c r="B1" s="236"/>
      <c r="C1" s="236"/>
      <c r="D1" s="236"/>
      <c r="E1" s="237"/>
      <c r="F1" t="s" s="238">
        <v>123</v>
      </c>
      <c r="G1" s="239"/>
      <c r="H1" s="239"/>
      <c r="I1" s="239"/>
      <c r="J1" s="239"/>
      <c r="K1" s="240"/>
      <c r="L1" s="241"/>
      <c r="M1" s="242"/>
      <c r="N1" s="242"/>
      <c r="O1" s="242"/>
      <c r="P1" s="242"/>
      <c r="Q1" s="242"/>
      <c r="R1" s="8"/>
      <c r="S1" s="8"/>
      <c r="T1" s="8"/>
      <c r="U1" s="8"/>
      <c r="V1" s="8"/>
    </row>
    <row r="2" ht="15.35" customHeight="1">
      <c r="A2" s="243"/>
      <c r="B2" t="s" s="244">
        <v>96</v>
      </c>
      <c r="C2" t="s" s="245">
        <v>97</v>
      </c>
      <c r="D2" s="246"/>
      <c r="E2" s="246"/>
      <c r="F2" t="s" s="244">
        <v>98</v>
      </c>
      <c r="G2" t="s" s="245">
        <v>99</v>
      </c>
      <c r="H2" t="s" s="245">
        <v>100</v>
      </c>
      <c r="I2" t="s" s="245">
        <v>101</v>
      </c>
      <c r="J2" t="s" s="245">
        <v>102</v>
      </c>
      <c r="K2" t="s" s="245">
        <v>103</v>
      </c>
      <c r="L2" t="s" s="248">
        <v>104</v>
      </c>
      <c r="M2" t="s" s="248">
        <v>105</v>
      </c>
      <c r="N2" t="s" s="248">
        <v>106</v>
      </c>
      <c r="O2" t="s" s="248">
        <v>107</v>
      </c>
      <c r="P2" t="s" s="248">
        <v>108</v>
      </c>
      <c r="Q2" t="s" s="248">
        <v>109</v>
      </c>
      <c r="R2" s="249"/>
      <c r="S2" s="250"/>
      <c r="T2" s="250"/>
      <c r="U2" s="250"/>
      <c r="V2" s="250"/>
    </row>
    <row r="3" ht="30" customHeight="1">
      <c r="A3" s="251"/>
      <c r="B3" s="252"/>
      <c r="C3" t="s" s="253">
        <v>110</v>
      </c>
      <c r="D3" t="s" s="253">
        <v>111</v>
      </c>
      <c r="E3" t="s" s="253">
        <v>57</v>
      </c>
      <c r="F3" s="254"/>
      <c r="G3" s="246"/>
      <c r="H3" s="246"/>
      <c r="I3" s="255"/>
      <c r="J3" s="255"/>
      <c r="K3" s="255"/>
      <c r="L3" s="297"/>
      <c r="M3" s="297"/>
      <c r="N3" s="254"/>
      <c r="O3" s="297"/>
      <c r="P3" s="297"/>
      <c r="Q3" s="297"/>
      <c r="R3" s="249"/>
      <c r="S3" s="250"/>
      <c r="T3" s="250"/>
      <c r="U3" s="250"/>
      <c r="V3" s="250"/>
    </row>
    <row r="4" ht="17.9" customHeight="1">
      <c r="A4" t="s" s="259">
        <v>112</v>
      </c>
      <c r="B4" s="260">
        <v>27.6</v>
      </c>
      <c r="C4" s="261">
        <v>46.5</v>
      </c>
      <c r="D4" s="261">
        <v>46</v>
      </c>
      <c r="E4" s="262">
        <f>AVERAGE(C4:D4)</f>
        <v>46.25</v>
      </c>
      <c r="F4" s="261">
        <v>12</v>
      </c>
      <c r="G4" s="263">
        <f>((20/$F4)/($E4/60))</f>
        <v>2.16216216216216</v>
      </c>
      <c r="H4" s="264">
        <v>18</v>
      </c>
      <c r="I4" s="263">
        <f>((20/$F4)^2)*$G4</f>
        <v>6.006006006006</v>
      </c>
      <c r="J4" s="265">
        <f>B4+H4</f>
        <v>45.6</v>
      </c>
      <c r="K4" s="298">
        <f>(1+(2/((E4/60)*2)))*H4</f>
        <v>41.3513513513514</v>
      </c>
      <c r="L4" s="265">
        <f>(H4*2)/(E4/60*2)</f>
        <v>23.3513513513514</v>
      </c>
      <c r="M4" s="265">
        <f>L4*(20/F4)</f>
        <v>38.918918918919</v>
      </c>
      <c r="N4" s="267">
        <f>M4/L4</f>
        <v>1.66666666666667</v>
      </c>
      <c r="O4" s="265">
        <f>B4-L4</f>
        <v>4.2486486486486</v>
      </c>
      <c r="P4" s="265">
        <f>50-M4</f>
        <v>11.081081081081</v>
      </c>
      <c r="Q4" s="267">
        <f>P4/O4</f>
        <v>2.60814249363869</v>
      </c>
      <c r="R4" s="105"/>
      <c r="S4" s="8"/>
      <c r="T4" s="8"/>
      <c r="U4" s="8"/>
      <c r="V4" s="8"/>
    </row>
    <row r="5" ht="17.9" customHeight="1">
      <c r="A5" t="s" s="259">
        <v>113</v>
      </c>
      <c r="B5" s="260">
        <v>27.2</v>
      </c>
      <c r="C5" s="261">
        <v>49</v>
      </c>
      <c r="D5" s="261">
        <v>48</v>
      </c>
      <c r="E5" s="262">
        <f>AVERAGE(C5:D5)</f>
        <v>48.5</v>
      </c>
      <c r="F5" s="261">
        <v>11.7</v>
      </c>
      <c r="G5" s="263">
        <f>((20/$F5)/($E5/60))</f>
        <v>2.1147237642083</v>
      </c>
      <c r="H5" s="264">
        <v>18</v>
      </c>
      <c r="I5" s="263">
        <f>((20/$F5)^2)*$G5</f>
        <v>6.17933746572664</v>
      </c>
      <c r="J5" s="265">
        <f>B5+H5</f>
        <v>45.2</v>
      </c>
      <c r="K5" s="298">
        <f>(1+(2/((E5/60)*2)))*H5</f>
        <v>40.2680412371134</v>
      </c>
      <c r="L5" s="265">
        <f>(H5*2)/(E5/60*2)</f>
        <v>22.2680412371134</v>
      </c>
      <c r="M5" s="265">
        <f>L5*(20/F5)</f>
        <v>38.0650277557494</v>
      </c>
      <c r="N5" s="267">
        <f>M5/L5</f>
        <v>1.70940170940171</v>
      </c>
      <c r="O5" s="265">
        <f>B5-L5</f>
        <v>4.9319587628866</v>
      </c>
      <c r="P5" s="265">
        <f>50-M5</f>
        <v>11.9349722442506</v>
      </c>
      <c r="Q5" s="267">
        <f>P5/O5</f>
        <v>2.41992539233342</v>
      </c>
      <c r="R5" s="105"/>
      <c r="S5" s="8"/>
      <c r="T5" s="8"/>
      <c r="U5" s="8"/>
      <c r="V5" s="8"/>
    </row>
    <row r="6" ht="17.9" customHeight="1">
      <c r="A6" t="s" s="259">
        <v>114</v>
      </c>
      <c r="B6" s="260">
        <v>27.2</v>
      </c>
      <c r="C6" s="261">
        <v>49.5</v>
      </c>
      <c r="D6" s="261">
        <v>48</v>
      </c>
      <c r="E6" s="262">
        <f>AVERAGE(C6:D6)</f>
        <v>48.75</v>
      </c>
      <c r="F6" s="261">
        <v>11.6</v>
      </c>
      <c r="G6" s="263">
        <f>((20/$F6)/($E6/60))</f>
        <v>2.12201591511936</v>
      </c>
      <c r="H6" s="264">
        <v>18</v>
      </c>
      <c r="I6" s="263">
        <f>((20/$F6)^2)*$G6</f>
        <v>6.30801401640713</v>
      </c>
      <c r="J6" s="265">
        <f>B6+H6</f>
        <v>45.2</v>
      </c>
      <c r="K6" s="298">
        <f>(1+(2/((E6/60)*2)))*H6</f>
        <v>40.1538461538462</v>
      </c>
      <c r="L6" s="265">
        <f>(H6*2)/(E6/60*2)</f>
        <v>22.1538461538462</v>
      </c>
      <c r="M6" s="265">
        <f>L6*(20/F6)</f>
        <v>38.1962864721486</v>
      </c>
      <c r="N6" s="267">
        <f>M6/L6</f>
        <v>1.72413793103448</v>
      </c>
      <c r="O6" s="265">
        <f>B6-L6</f>
        <v>5.0461538461538</v>
      </c>
      <c r="P6" s="265">
        <f>50-M6</f>
        <v>11.8037135278514</v>
      </c>
      <c r="Q6" s="267">
        <f>P6/O6</f>
        <v>2.33915054667789</v>
      </c>
      <c r="R6" s="105"/>
      <c r="S6" s="8"/>
      <c r="T6" s="8"/>
      <c r="U6" s="8"/>
      <c r="V6" s="8"/>
    </row>
    <row r="7" ht="17.9" customHeight="1">
      <c r="A7" t="s" s="259">
        <v>115</v>
      </c>
      <c r="B7" s="260">
        <v>27</v>
      </c>
      <c r="C7" s="261">
        <v>49</v>
      </c>
      <c r="D7" s="261">
        <v>48</v>
      </c>
      <c r="E7" s="262">
        <f>AVERAGE(C7:D7)</f>
        <v>48.5</v>
      </c>
      <c r="F7" s="261">
        <v>11.6</v>
      </c>
      <c r="G7" s="263">
        <f>((20/$F7)/($E7/60))</f>
        <v>2.13295414148596</v>
      </c>
      <c r="H7" s="264">
        <v>18</v>
      </c>
      <c r="I7" s="263">
        <f>((20/$F7)^2)*$G7</f>
        <v>6.3405295525742</v>
      </c>
      <c r="J7" s="265">
        <f>B7+H7</f>
        <v>45</v>
      </c>
      <c r="K7" s="298">
        <f>(1+(2/((E7/60)*2)))*H7</f>
        <v>40.2680412371134</v>
      </c>
      <c r="L7" s="265">
        <f>(H7*2)/(E7/60*2)</f>
        <v>22.2680412371134</v>
      </c>
      <c r="M7" s="265">
        <f>L7*(20/F7)</f>
        <v>38.3931745467472</v>
      </c>
      <c r="N7" s="267">
        <f>M7/L7</f>
        <v>1.72413793103448</v>
      </c>
      <c r="O7" s="265">
        <f>B7-L7</f>
        <v>4.7319587628866</v>
      </c>
      <c r="P7" s="265">
        <f>50-M7</f>
        <v>11.6068254532528</v>
      </c>
      <c r="Q7" s="267">
        <f>P7/O7</f>
        <v>2.45285853805124</v>
      </c>
      <c r="R7" s="105"/>
      <c r="S7" s="8"/>
      <c r="T7" s="8"/>
      <c r="U7" s="8"/>
      <c r="V7" s="8"/>
    </row>
    <row r="8" ht="17.9" customHeight="1">
      <c r="A8" t="s" s="259">
        <v>116</v>
      </c>
      <c r="B8" s="260">
        <v>26.9</v>
      </c>
      <c r="C8" s="261">
        <v>50.5</v>
      </c>
      <c r="D8" s="261">
        <v>48</v>
      </c>
      <c r="E8" s="262">
        <f>AVERAGE(C8:D8)</f>
        <v>49.25</v>
      </c>
      <c r="F8" s="261">
        <v>11.5</v>
      </c>
      <c r="G8" s="263">
        <f>((20/$F8)/($E8/60))</f>
        <v>2.11873758552196</v>
      </c>
      <c r="H8" s="264">
        <v>18</v>
      </c>
      <c r="I8" s="263">
        <f>((20/$F8)^2)*$G8</f>
        <v>6.40828003182445</v>
      </c>
      <c r="J8" s="265">
        <f>B8+H8</f>
        <v>44.9</v>
      </c>
      <c r="K8" s="298">
        <f>(1+(2/((E8/60)*2)))*H8</f>
        <v>39.9289340101523</v>
      </c>
      <c r="L8" s="265">
        <f>(H8*2)/(E8/60*2)</f>
        <v>21.9289340101523</v>
      </c>
      <c r="M8" s="265">
        <f>L8*(20/F8)</f>
        <v>38.1372765393953</v>
      </c>
      <c r="N8" s="267">
        <f>M8/L8</f>
        <v>1.73913043478261</v>
      </c>
      <c r="O8" s="265">
        <f>B8-L8</f>
        <v>4.9710659898477</v>
      </c>
      <c r="P8" s="265">
        <f>50-M8</f>
        <v>11.8627234606047</v>
      </c>
      <c r="Q8" s="267">
        <f>P8/O8</f>
        <v>2.38635405058627</v>
      </c>
      <c r="R8" s="105"/>
      <c r="S8" s="8"/>
      <c r="T8" s="8"/>
      <c r="U8" s="8"/>
      <c r="V8" s="8"/>
    </row>
    <row r="9" ht="17.9" customHeight="1">
      <c r="A9" t="s" s="259">
        <v>117</v>
      </c>
      <c r="B9" s="260">
        <v>27.2</v>
      </c>
      <c r="C9" s="261">
        <v>51.5</v>
      </c>
      <c r="D9" s="261">
        <v>50</v>
      </c>
      <c r="E9" s="262">
        <f>AVERAGE(C9:D9)</f>
        <v>50.75</v>
      </c>
      <c r="F9" s="261">
        <v>11.5</v>
      </c>
      <c r="G9" s="263">
        <f>((20/$F9)/($E9/60))</f>
        <v>2.05611479974299</v>
      </c>
      <c r="H9" s="264">
        <v>19</v>
      </c>
      <c r="I9" s="263">
        <f>((20/$F9)^2)*$G9</f>
        <v>6.21887274024345</v>
      </c>
      <c r="J9" s="265">
        <f>B9+H9</f>
        <v>46.2</v>
      </c>
      <c r="K9" s="298">
        <f>(1+(2/((E9/60)*2)))*H9</f>
        <v>41.4630541871921</v>
      </c>
      <c r="L9" s="265">
        <f>(H9*2)/(E9/60*2)</f>
        <v>22.4630541871921</v>
      </c>
      <c r="M9" s="265">
        <f>L9*(20/F9)</f>
        <v>39.0661811951167</v>
      </c>
      <c r="N9" s="267">
        <f>M9/L9</f>
        <v>1.73913043478261</v>
      </c>
      <c r="O9" s="265">
        <f>B9-L9</f>
        <v>4.7369458128079</v>
      </c>
      <c r="P9" s="265">
        <f>50-M9</f>
        <v>10.9338188048833</v>
      </c>
      <c r="Q9" s="267">
        <f>P9/O9</f>
        <v>2.30820010128047</v>
      </c>
      <c r="R9" s="105"/>
      <c r="S9" s="8"/>
      <c r="T9" s="8"/>
      <c r="U9" s="8"/>
      <c r="V9" s="8"/>
    </row>
    <row r="10" ht="17.9" customHeight="1">
      <c r="A10" t="s" s="268">
        <v>57</v>
      </c>
      <c r="B10" s="269">
        <f>AVERAGE(B4:B9)</f>
        <v>27.1833333333333</v>
      </c>
      <c r="C10" s="265">
        <f>AVERAGE(C4:C9)</f>
        <v>49.3333333333333</v>
      </c>
      <c r="D10" s="265">
        <f>AVERAGE(D4:D9)</f>
        <v>48</v>
      </c>
      <c r="E10" s="269">
        <f>AVERAGE(E4:E9)</f>
        <v>48.6666666666667</v>
      </c>
      <c r="F10" s="270">
        <f>AVERAGE(F4:F9)</f>
        <v>11.65</v>
      </c>
      <c r="G10" s="271">
        <f>AVERAGE(G4:G9)</f>
        <v>2.11778472804012</v>
      </c>
      <c r="H10" s="272">
        <f>AVERAGE(H4:H9)</f>
        <v>18.1666666666667</v>
      </c>
      <c r="I10" s="271">
        <f>AVERAGE(I4:I9)</f>
        <v>6.24350663546365</v>
      </c>
      <c r="J10" s="270">
        <f>AVERAGE(J4:J9)</f>
        <v>45.35</v>
      </c>
      <c r="K10" s="273">
        <f>AVERAGE(K4:K9)</f>
        <v>40.5722113627948</v>
      </c>
      <c r="L10" s="270">
        <f>AVERAGE(L4:L9)</f>
        <v>22.4055446961281</v>
      </c>
      <c r="M10" s="270">
        <f>AVERAGE(M4:M9)</f>
        <v>38.4628109046794</v>
      </c>
      <c r="N10" s="274">
        <f>AVERAGE(N4:N9)</f>
        <v>1.71710085128376</v>
      </c>
      <c r="O10" s="270">
        <f>AVERAGE(O4:O9)</f>
        <v>4.7777886372052</v>
      </c>
      <c r="P10" s="270">
        <f>AVERAGE(P4:P9)</f>
        <v>11.5371890953206</v>
      </c>
      <c r="Q10" s="274">
        <f>AVERAGE(Q4:Q9)</f>
        <v>2.41910518709466</v>
      </c>
      <c r="R10" s="105"/>
      <c r="S10" s="8"/>
      <c r="T10" s="8"/>
      <c r="U10" s="8"/>
      <c r="V10" s="8"/>
    </row>
    <row r="11" ht="13.65" customHeight="1">
      <c r="A11" s="275"/>
      <c r="B11" s="276"/>
      <c r="C11" s="276"/>
      <c r="D11" s="276"/>
      <c r="E11" s="276"/>
      <c r="F11" s="276"/>
      <c r="G11" s="276"/>
      <c r="H11" s="276"/>
      <c r="I11" s="276"/>
      <c r="J11" s="276"/>
      <c r="K11" s="276"/>
      <c r="L11" s="277"/>
      <c r="M11" s="26"/>
      <c r="N11" s="26"/>
      <c r="O11" s="26"/>
      <c r="P11" s="26"/>
      <c r="Q11" s="26"/>
      <c r="R11" s="8"/>
      <c r="S11" s="8"/>
      <c r="T11" s="8"/>
      <c r="U11" s="8"/>
      <c r="V11" s="8"/>
    </row>
    <row r="12" ht="90.35" customHeight="1">
      <c r="A12" t="s" s="278">
        <v>118</v>
      </c>
      <c r="B12" s="279"/>
      <c r="C12" s="279"/>
      <c r="D12" s="279"/>
      <c r="E12" s="279"/>
      <c r="F12" s="279"/>
      <c r="G12" s="279"/>
      <c r="H12" s="279"/>
      <c r="I12" s="279"/>
      <c r="J12" s="280"/>
      <c r="K12" s="281"/>
      <c r="L12" s="105"/>
      <c r="M12" s="8"/>
      <c r="N12" s="8"/>
      <c r="O12" s="8"/>
      <c r="P12" s="8"/>
      <c r="Q12" s="8"/>
      <c r="R12" s="8"/>
      <c r="S12" s="8"/>
      <c r="T12" s="8"/>
      <c r="U12" s="8"/>
      <c r="V12" s="8"/>
    </row>
    <row r="13" ht="15.35" customHeight="1">
      <c r="A13" s="282"/>
      <c r="B13" s="282"/>
      <c r="C13" s="282"/>
      <c r="D13" s="282"/>
      <c r="E13" s="282"/>
      <c r="F13" s="32"/>
      <c r="G13" s="299"/>
      <c r="H13" t="s" s="300">
        <v>124</v>
      </c>
      <c r="I13" t="s" s="300">
        <v>125</v>
      </c>
      <c r="J13" t="s" s="300">
        <v>126</v>
      </c>
      <c r="K13" t="s" s="300">
        <v>127</v>
      </c>
      <c r="L13" s="105"/>
      <c r="M13" s="8"/>
      <c r="N13" s="8"/>
      <c r="O13" s="8"/>
      <c r="P13" s="8"/>
      <c r="Q13" s="8"/>
      <c r="R13" s="8"/>
      <c r="S13" s="8"/>
      <c r="T13" s="8"/>
      <c r="U13" s="8"/>
      <c r="V13" s="8"/>
    </row>
    <row r="14" ht="19.45" customHeight="1">
      <c r="A14" t="s" s="283">
        <v>119</v>
      </c>
      <c r="B14" s="284"/>
      <c r="C14" s="285">
        <f>B10+1</f>
        <v>28.1833333333333</v>
      </c>
      <c r="D14" s="285">
        <f>C14+2</f>
        <v>30.1833333333333</v>
      </c>
      <c r="E14" s="285">
        <f>C14+4</f>
        <v>32.1833333333333</v>
      </c>
      <c r="F14" s="285">
        <f>C14+6</f>
        <v>34.1833333333333</v>
      </c>
      <c r="G14" t="s" s="301">
        <v>128</v>
      </c>
      <c r="H14" s="302">
        <v>10.6</v>
      </c>
      <c r="I14" s="302">
        <v>12.8</v>
      </c>
      <c r="J14" s="302">
        <v>10.2</v>
      </c>
      <c r="K14" s="303"/>
      <c r="L14" s="105"/>
      <c r="M14" s="8"/>
      <c r="N14" s="8"/>
      <c r="O14" s="8"/>
      <c r="P14" s="8"/>
      <c r="Q14" s="8"/>
      <c r="R14" s="8"/>
      <c r="S14" s="8"/>
      <c r="T14" s="8"/>
      <c r="U14" s="8"/>
      <c r="V14" s="8"/>
    </row>
    <row r="15" ht="19.45" customHeight="1">
      <c r="A15" t="s" s="287">
        <v>120</v>
      </c>
      <c r="B15" s="288"/>
      <c r="C15" s="289">
        <f>$J$10-C14</f>
        <v>17.1666666666667</v>
      </c>
      <c r="D15" s="289">
        <f>$J$10-D14</f>
        <v>15.1666666666667</v>
      </c>
      <c r="E15" s="289">
        <f>$J$10-E14</f>
        <v>13.1666666666667</v>
      </c>
      <c r="F15" s="289">
        <f>$J$10-F14</f>
        <v>11.1666666666667</v>
      </c>
      <c r="G15" t="s" s="290">
        <v>121</v>
      </c>
      <c r="H15" s="291"/>
      <c r="I15" s="291"/>
      <c r="J15" s="291"/>
      <c r="K15" s="292"/>
      <c r="L15" s="105"/>
      <c r="M15" s="8"/>
      <c r="N15" s="8"/>
      <c r="O15" s="8"/>
      <c r="P15" s="8"/>
      <c r="Q15" s="8"/>
      <c r="R15" s="8"/>
      <c r="S15" s="8"/>
      <c r="T15" s="8"/>
      <c r="U15" s="8"/>
      <c r="V15" s="8"/>
    </row>
    <row r="16" ht="40.85" customHeight="1">
      <c r="A16" s="288"/>
      <c r="B16" s="288"/>
      <c r="C16" s="289">
        <f>(($K$10+$J$10)/2)-C14</f>
        <v>14.7777723480641</v>
      </c>
      <c r="D16" s="289">
        <f>(($K$10+$J$10)/2)-D14</f>
        <v>12.7777723480641</v>
      </c>
      <c r="E16" s="289">
        <f>(($K$10+$J$10)/2)-E14</f>
        <v>10.7777723480641</v>
      </c>
      <c r="F16" s="289">
        <f>(($K$10+$J$10)/2)-F14</f>
        <v>8.777772348064101</v>
      </c>
      <c r="G16" s="293"/>
      <c r="H16" s="294"/>
      <c r="I16" s="294"/>
      <c r="J16" s="294"/>
      <c r="K16" s="295"/>
      <c r="L16" s="105"/>
      <c r="M16" s="8"/>
      <c r="N16" s="8"/>
      <c r="O16" s="8"/>
      <c r="P16" s="8"/>
      <c r="Q16" s="8"/>
      <c r="R16" s="8"/>
      <c r="S16" s="8"/>
      <c r="T16" s="8"/>
      <c r="U16" s="8"/>
      <c r="V16" s="8"/>
    </row>
    <row r="17" ht="15.35" customHeight="1">
      <c r="A17" s="26"/>
      <c r="B17" s="26"/>
      <c r="C17" s="26"/>
      <c r="D17" s="26"/>
      <c r="E17" s="26"/>
      <c r="F17" s="26"/>
      <c r="G17" s="26"/>
      <c r="H17" s="26"/>
      <c r="I17" s="26"/>
      <c r="J17" s="26"/>
      <c r="K17" s="26"/>
      <c r="L17" s="250"/>
      <c r="M17" s="250"/>
      <c r="N17" s="250"/>
      <c r="O17" s="250"/>
      <c r="P17" s="250"/>
      <c r="Q17" s="250"/>
      <c r="R17" s="8"/>
      <c r="S17" s="8"/>
      <c r="T17" s="8"/>
      <c r="U17" s="8"/>
      <c r="V17" s="8"/>
    </row>
  </sheetData>
  <mergeCells count="21">
    <mergeCell ref="A15:B16"/>
    <mergeCell ref="G15:K16"/>
    <mergeCell ref="K2:K3"/>
    <mergeCell ref="L2:L3"/>
    <mergeCell ref="M2:M3"/>
    <mergeCell ref="G2:G3"/>
    <mergeCell ref="O2:O3"/>
    <mergeCell ref="I2:I3"/>
    <mergeCell ref="Q2:Q3"/>
    <mergeCell ref="A12:K12"/>
    <mergeCell ref="A14:B14"/>
    <mergeCell ref="H2:H3"/>
    <mergeCell ref="N2:N3"/>
    <mergeCell ref="J2:J3"/>
    <mergeCell ref="P2:P3"/>
    <mergeCell ref="A1:E1"/>
    <mergeCell ref="F1:K1"/>
    <mergeCell ref="A2:A3"/>
    <mergeCell ref="B2:B3"/>
    <mergeCell ref="C2:E2"/>
    <mergeCell ref="F2:F3"/>
  </mergeCells>
  <pageMargins left="0.75" right="0.75" top="1" bottom="1" header="0.5" footer="0.5"/>
  <pageSetup firstPageNumber="1" fitToHeight="1" fitToWidth="1" scale="100" useFirstPageNumber="0" orientation="landscape" pageOrder="downThenOver"/>
  <headerFoot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dimension ref="A1:V17"/>
  <sheetViews>
    <sheetView workbookViewId="0" showGridLines="0" defaultGridColor="1"/>
  </sheetViews>
  <sheetFormatPr defaultColWidth="10.8333" defaultRowHeight="15" customHeight="1" outlineLevelRow="0" outlineLevelCol="0"/>
  <cols>
    <col min="1" max="8" width="9.5" style="304" customWidth="1"/>
    <col min="9" max="9" width="11.3516" style="304" customWidth="1"/>
    <col min="10" max="11" width="8.5" style="304" customWidth="1"/>
    <col min="12" max="17" width="11.8516" style="304" customWidth="1"/>
    <col min="18" max="22" width="10.8516" style="304" customWidth="1"/>
    <col min="23" max="16384" width="10.8516" style="304" customWidth="1"/>
  </cols>
  <sheetData>
    <row r="1" ht="19.45" customHeight="1">
      <c r="A1" t="s" s="235">
        <v>129</v>
      </c>
      <c r="B1" s="236"/>
      <c r="C1" s="236"/>
      <c r="D1" s="236"/>
      <c r="E1" s="237"/>
      <c r="F1" t="s" s="238">
        <v>95</v>
      </c>
      <c r="G1" s="239"/>
      <c r="H1" s="239"/>
      <c r="I1" s="239"/>
      <c r="J1" s="239"/>
      <c r="K1" s="240"/>
      <c r="L1" s="241"/>
      <c r="M1" s="242"/>
      <c r="N1" s="242"/>
      <c r="O1" s="242"/>
      <c r="P1" s="242"/>
      <c r="Q1" s="242"/>
      <c r="R1" s="8"/>
      <c r="S1" s="8"/>
      <c r="T1" s="8"/>
      <c r="U1" s="8"/>
      <c r="V1" s="8"/>
    </row>
    <row r="2" ht="15.35" customHeight="1">
      <c r="A2" s="243"/>
      <c r="B2" t="s" s="244">
        <v>96</v>
      </c>
      <c r="C2" t="s" s="245">
        <v>97</v>
      </c>
      <c r="D2" s="246"/>
      <c r="E2" s="246"/>
      <c r="F2" t="s" s="244">
        <v>98</v>
      </c>
      <c r="G2" t="s" s="245">
        <v>99</v>
      </c>
      <c r="H2" t="s" s="245">
        <v>100</v>
      </c>
      <c r="I2" t="s" s="245">
        <v>101</v>
      </c>
      <c r="J2" t="s" s="245">
        <v>102</v>
      </c>
      <c r="K2" t="s" s="245">
        <v>103</v>
      </c>
      <c r="L2" t="s" s="248">
        <v>104</v>
      </c>
      <c r="M2" t="s" s="248">
        <v>105</v>
      </c>
      <c r="N2" t="s" s="248">
        <v>106</v>
      </c>
      <c r="O2" t="s" s="248">
        <v>107</v>
      </c>
      <c r="P2" t="s" s="248">
        <v>108</v>
      </c>
      <c r="Q2" t="s" s="248">
        <v>109</v>
      </c>
      <c r="R2" s="249"/>
      <c r="S2" s="250"/>
      <c r="T2" s="250"/>
      <c r="U2" s="250"/>
      <c r="V2" s="250"/>
    </row>
    <row r="3" ht="30" customHeight="1">
      <c r="A3" s="251"/>
      <c r="B3" s="252"/>
      <c r="C3" t="s" s="253">
        <v>110</v>
      </c>
      <c r="D3" t="s" s="253">
        <v>111</v>
      </c>
      <c r="E3" t="s" s="253">
        <v>57</v>
      </c>
      <c r="F3" s="254"/>
      <c r="G3" s="246"/>
      <c r="H3" s="246"/>
      <c r="I3" s="255"/>
      <c r="J3" s="255"/>
      <c r="K3" s="255"/>
      <c r="L3" s="297"/>
      <c r="M3" s="297"/>
      <c r="N3" s="297"/>
      <c r="O3" s="297"/>
      <c r="P3" s="297"/>
      <c r="Q3" s="297"/>
      <c r="R3" s="249"/>
      <c r="S3" s="250"/>
      <c r="T3" s="250"/>
      <c r="U3" s="250"/>
      <c r="V3" s="250"/>
    </row>
    <row r="4" ht="17.9" customHeight="1">
      <c r="A4" t="s" s="259">
        <v>112</v>
      </c>
      <c r="B4" s="260">
        <v>25</v>
      </c>
      <c r="C4" s="261">
        <v>46.5</v>
      </c>
      <c r="D4" s="261">
        <v>45.5</v>
      </c>
      <c r="E4" s="262">
        <f>AVERAGE(C4:D4)</f>
        <v>46</v>
      </c>
      <c r="F4" s="261">
        <v>14.2</v>
      </c>
      <c r="G4" s="263">
        <f>((20/$F4)/($E4/60))</f>
        <v>1.83710961420698</v>
      </c>
      <c r="H4" s="264">
        <v>43</v>
      </c>
      <c r="I4" s="263">
        <f>((20/$F4)^2)*$G4</f>
        <v>3.64433567587181</v>
      </c>
      <c r="J4" s="265">
        <f>B4+H4</f>
        <v>68</v>
      </c>
      <c r="K4" s="266">
        <f>(1+(1/((E4/60)*2)))*H4</f>
        <v>71.04347826086961</v>
      </c>
      <c r="L4" s="265">
        <f>H4/(E4/60*2)</f>
        <v>28.0434782608696</v>
      </c>
      <c r="M4" s="265">
        <f>L4*(20/F4)</f>
        <v>39.4978567054501</v>
      </c>
      <c r="N4" s="267">
        <f>M4/L4</f>
        <v>1.40845070422535</v>
      </c>
      <c r="O4" s="265">
        <f>B4-L4</f>
        <v>-3.0434782608696</v>
      </c>
      <c r="P4" s="265">
        <f>50-M4</f>
        <v>10.5021432945499</v>
      </c>
      <c r="Q4" s="267">
        <f>P4/O4</f>
        <v>-3.45070422535207</v>
      </c>
      <c r="R4" s="105"/>
      <c r="S4" s="8"/>
      <c r="T4" s="8"/>
      <c r="U4" s="8"/>
      <c r="V4" s="8"/>
    </row>
    <row r="5" ht="17.9" customHeight="1">
      <c r="A5" t="s" s="259">
        <v>113</v>
      </c>
      <c r="B5" s="260">
        <v>29</v>
      </c>
      <c r="C5" s="261">
        <v>43.6</v>
      </c>
      <c r="D5" s="261">
        <v>45.9</v>
      </c>
      <c r="E5" s="262">
        <f>AVERAGE(C5:D5)</f>
        <v>44.75</v>
      </c>
      <c r="F5" s="261">
        <v>14.5</v>
      </c>
      <c r="G5" s="263">
        <f>((20/$F5)/($E5/60))</f>
        <v>1.8493546522828</v>
      </c>
      <c r="H5" s="264">
        <v>45</v>
      </c>
      <c r="I5" s="263">
        <f>((20/$F5)^2)*$G5</f>
        <v>3.51839172848095</v>
      </c>
      <c r="J5" s="265">
        <f>B5+H5</f>
        <v>74</v>
      </c>
      <c r="K5" s="266">
        <f>(1+(1/((E5/60)*2)))*H5</f>
        <v>75.1675977653631</v>
      </c>
      <c r="L5" s="265">
        <f>H5/(E5/60*2)</f>
        <v>30.1675977653631</v>
      </c>
      <c r="M5" s="265">
        <f>L5*(20/F5)</f>
        <v>41.6104796763629</v>
      </c>
      <c r="N5" s="267">
        <f>M5/L5</f>
        <v>1.37931034482759</v>
      </c>
      <c r="O5" s="265">
        <f>B5-L5</f>
        <v>-1.1675977653631</v>
      </c>
      <c r="P5" s="265">
        <f>50-M5</f>
        <v>8.3895203236371</v>
      </c>
      <c r="Q5" s="267">
        <f>P5/O5</f>
        <v>-7.18528295660803</v>
      </c>
      <c r="R5" s="105"/>
      <c r="S5" s="8"/>
      <c r="T5" s="8"/>
      <c r="U5" s="8"/>
      <c r="V5" s="8"/>
    </row>
    <row r="6" ht="17.9" customHeight="1">
      <c r="A6" t="s" s="259">
        <v>114</v>
      </c>
      <c r="B6" s="260">
        <v>29</v>
      </c>
      <c r="C6" s="261">
        <v>47</v>
      </c>
      <c r="D6" s="261">
        <v>46.1</v>
      </c>
      <c r="E6" s="262">
        <f>AVERAGE(C6:D6)</f>
        <v>46.55</v>
      </c>
      <c r="F6" s="261">
        <v>13.3</v>
      </c>
      <c r="G6" s="263">
        <f>((20/$F6)/($E6/60))</f>
        <v>1.93825056734209</v>
      </c>
      <c r="H6" s="264">
        <v>45</v>
      </c>
      <c r="I6" s="263">
        <f>((20/$F6)^2)*$G6</f>
        <v>4.38295113876893</v>
      </c>
      <c r="J6" s="265">
        <f>B6+H6</f>
        <v>74</v>
      </c>
      <c r="K6" s="266">
        <f>(1+(1/((E6/60)*2)))*H6</f>
        <v>74.00107411385611</v>
      </c>
      <c r="L6" s="265">
        <f>H6/(E6/60*2)</f>
        <v>29.0010741138561</v>
      </c>
      <c r="M6" s="265">
        <f>L6*(20/F6)</f>
        <v>43.6106377651971</v>
      </c>
      <c r="N6" s="267">
        <f>M6/L6</f>
        <v>1.50375939849624</v>
      </c>
      <c r="O6" s="265">
        <f>B6-L6</f>
        <v>-0.0010741138561</v>
      </c>
      <c r="P6" s="265">
        <f>50-M6</f>
        <v>6.3893622348029</v>
      </c>
      <c r="Q6" s="267">
        <f>P6/O6</f>
        <v>-5948.4962404284</v>
      </c>
      <c r="R6" s="105"/>
      <c r="S6" s="8"/>
      <c r="T6" s="8"/>
      <c r="U6" s="8"/>
      <c r="V6" s="8"/>
    </row>
    <row r="7" ht="17.9" customHeight="1">
      <c r="A7" t="s" s="259">
        <v>115</v>
      </c>
      <c r="B7" s="260">
        <v>29</v>
      </c>
      <c r="C7" s="261">
        <v>47.1</v>
      </c>
      <c r="D7" s="261">
        <v>46.6</v>
      </c>
      <c r="E7" s="262">
        <f>AVERAGE(C7:D7)</f>
        <v>46.85</v>
      </c>
      <c r="F7" s="261">
        <v>13.1</v>
      </c>
      <c r="G7" s="263">
        <f>((20/$F7)/($E7/60))</f>
        <v>1.95524126862571</v>
      </c>
      <c r="H7" s="264">
        <v>44</v>
      </c>
      <c r="I7" s="263">
        <f>((20/$F7)^2)*$G7</f>
        <v>4.55740637171659</v>
      </c>
      <c r="J7" s="265">
        <f>B7+H7</f>
        <v>73</v>
      </c>
      <c r="K7" s="266">
        <f>(1+(1/((E7/60)*2)))*H7</f>
        <v>72.17502668089649</v>
      </c>
      <c r="L7" s="265">
        <f>H7/(E7/60*2)</f>
        <v>28.1750266808965</v>
      </c>
      <c r="M7" s="265">
        <f>L7*(20/F7)</f>
        <v>43.0153079097656</v>
      </c>
      <c r="N7" s="267">
        <f>M7/L7</f>
        <v>1.52671755725191</v>
      </c>
      <c r="O7" s="265">
        <f>B7-L7</f>
        <v>0.8249733191035</v>
      </c>
      <c r="P7" s="265">
        <f>50-M7</f>
        <v>6.9846920902344</v>
      </c>
      <c r="Q7" s="267">
        <f>P7/O7</f>
        <v>8.46656725556249</v>
      </c>
      <c r="R7" s="105"/>
      <c r="S7" s="8"/>
      <c r="T7" s="8"/>
      <c r="U7" s="8"/>
      <c r="V7" s="8"/>
    </row>
    <row r="8" ht="17.9" customHeight="1">
      <c r="A8" t="s" s="259">
        <v>116</v>
      </c>
      <c r="B8" s="260">
        <v>29</v>
      </c>
      <c r="C8" s="261">
        <v>47.6</v>
      </c>
      <c r="D8" s="261">
        <v>46.9</v>
      </c>
      <c r="E8" s="262">
        <f>AVERAGE(C8:D8)</f>
        <v>47.25</v>
      </c>
      <c r="F8" s="261">
        <v>13.3</v>
      </c>
      <c r="G8" s="263">
        <f>((20/$F8)/($E8/60))</f>
        <v>1.90953574412221</v>
      </c>
      <c r="H8" s="264">
        <v>44</v>
      </c>
      <c r="I8" s="263">
        <f>((20/$F8)^2)*$G8</f>
        <v>4.31801852930569</v>
      </c>
      <c r="J8" s="265">
        <f>B8+H8</f>
        <v>73</v>
      </c>
      <c r="K8" s="266">
        <f>(1+(1/((E8/60)*2)))*H8</f>
        <v>71.93650793650789</v>
      </c>
      <c r="L8" s="265">
        <f>H8/(E8/60*2)</f>
        <v>27.9365079365079</v>
      </c>
      <c r="M8" s="265">
        <f>L8*(20/F8)</f>
        <v>42.0097863706886</v>
      </c>
      <c r="N8" s="267">
        <f>M8/L8</f>
        <v>1.50375939849624</v>
      </c>
      <c r="O8" s="265">
        <f>B8-L8</f>
        <v>1.0634920634921</v>
      </c>
      <c r="P8" s="265">
        <f>50-M8</f>
        <v>7.9902136293114</v>
      </c>
      <c r="Q8" s="267">
        <f>P8/O8</f>
        <v>7.51318594994927</v>
      </c>
      <c r="R8" s="105"/>
      <c r="S8" s="8"/>
      <c r="T8" s="8"/>
      <c r="U8" s="8"/>
      <c r="V8" s="8"/>
    </row>
    <row r="9" ht="17.9" customHeight="1">
      <c r="A9" t="s" s="259">
        <v>117</v>
      </c>
      <c r="B9" s="260">
        <v>29</v>
      </c>
      <c r="C9" s="261">
        <v>49.2</v>
      </c>
      <c r="D9" s="261">
        <v>46</v>
      </c>
      <c r="E9" s="262">
        <f>AVERAGE(C9:D9)</f>
        <v>47.6</v>
      </c>
      <c r="F9" s="261">
        <v>13.2</v>
      </c>
      <c r="G9" s="263">
        <f>((20/$F9)/($E9/60))</f>
        <v>1.90985485103132</v>
      </c>
      <c r="H9" s="264">
        <v>43</v>
      </c>
      <c r="I9" s="263">
        <f>((20/$F9)^2)*$G9</f>
        <v>4.38442344130239</v>
      </c>
      <c r="J9" s="265">
        <f>B9+H9</f>
        <v>72</v>
      </c>
      <c r="K9" s="266">
        <f>(1+(1/((E9/60)*2)))*H9</f>
        <v>70.1008403361345</v>
      </c>
      <c r="L9" s="265">
        <f>H9/(E9/60*2)</f>
        <v>27.1008403361345</v>
      </c>
      <c r="M9" s="265">
        <f>L9*(20/F9)</f>
        <v>41.0618792971735</v>
      </c>
      <c r="N9" s="267">
        <f>M9/L9</f>
        <v>1.51515151515152</v>
      </c>
      <c r="O9" s="265">
        <f>B9-L9</f>
        <v>1.8991596638655</v>
      </c>
      <c r="P9" s="265">
        <f>50-M9</f>
        <v>8.938120702826501</v>
      </c>
      <c r="Q9" s="267">
        <f>P9/O9</f>
        <v>4.70635559131141</v>
      </c>
      <c r="R9" s="105"/>
      <c r="S9" s="8"/>
      <c r="T9" s="8"/>
      <c r="U9" s="8"/>
      <c r="V9" s="8"/>
    </row>
    <row r="10" ht="17.9" customHeight="1">
      <c r="A10" t="s" s="268">
        <v>57</v>
      </c>
      <c r="B10" s="269">
        <f>AVERAGE(B4:B9)</f>
        <v>28.3333333333333</v>
      </c>
      <c r="C10" s="265">
        <f>AVERAGE(C4:C9)</f>
        <v>46.8333333333333</v>
      </c>
      <c r="D10" s="265">
        <f>AVERAGE(D4:D9)</f>
        <v>46.1666666666667</v>
      </c>
      <c r="E10" s="269">
        <f>AVERAGE(E4:E9)</f>
        <v>46.5</v>
      </c>
      <c r="F10" s="270">
        <f>AVERAGE(F4:F9)</f>
        <v>13.6</v>
      </c>
      <c r="G10" s="271">
        <f>AVERAGE(G4:G9)</f>
        <v>1.89989111626852</v>
      </c>
      <c r="H10" s="272">
        <f>AVERAGE(H4:H9)</f>
        <v>44</v>
      </c>
      <c r="I10" s="271">
        <f>AVERAGE(I4:I9)</f>
        <v>4.13425448090773</v>
      </c>
      <c r="J10" s="270">
        <f>AVERAGE(J4:J9)</f>
        <v>72.3333333333333</v>
      </c>
      <c r="K10" s="273">
        <f>AVERAGE(K4:K9)</f>
        <v>72.4040875156046</v>
      </c>
      <c r="L10" s="270">
        <f>AVERAGE(L4:L9)</f>
        <v>28.4040875156046</v>
      </c>
      <c r="M10" s="270">
        <f>AVERAGE(M4:M9)</f>
        <v>41.8009912874396</v>
      </c>
      <c r="N10" s="274">
        <f>AVERAGE(N4:N9)</f>
        <v>1.47285815307481</v>
      </c>
      <c r="O10" s="270">
        <f>AVERAGE(O4:O9)</f>
        <v>-0.0707541822712833</v>
      </c>
      <c r="P10" s="270">
        <f>AVERAGE(P4:P9)</f>
        <v>8.199008712560371</v>
      </c>
      <c r="Q10" s="274">
        <f>AVERAGE(Q4:Q9)</f>
        <v>-989.741019802256</v>
      </c>
      <c r="R10" s="105"/>
      <c r="S10" s="8"/>
      <c r="T10" s="8"/>
      <c r="U10" s="8"/>
      <c r="V10" s="8"/>
    </row>
    <row r="11" ht="13.65" customHeight="1">
      <c r="A11" s="275"/>
      <c r="B11" s="276"/>
      <c r="C11" s="276"/>
      <c r="D11" s="276"/>
      <c r="E11" s="276"/>
      <c r="F11" s="276"/>
      <c r="G11" s="276"/>
      <c r="H11" s="276"/>
      <c r="I11" s="276"/>
      <c r="J11" s="276"/>
      <c r="K11" s="276"/>
      <c r="L11" s="277"/>
      <c r="M11" s="26"/>
      <c r="N11" s="26"/>
      <c r="O11" s="26"/>
      <c r="P11" s="26"/>
      <c r="Q11" s="26"/>
      <c r="R11" s="8"/>
      <c r="S11" s="8"/>
      <c r="T11" s="8"/>
      <c r="U11" s="8"/>
      <c r="V11" s="8"/>
    </row>
    <row r="12" ht="90.35" customHeight="1">
      <c r="A12" t="s" s="278">
        <v>118</v>
      </c>
      <c r="B12" s="279"/>
      <c r="C12" s="279"/>
      <c r="D12" s="279"/>
      <c r="E12" s="279"/>
      <c r="F12" s="279"/>
      <c r="G12" s="279"/>
      <c r="H12" s="279"/>
      <c r="I12" s="279"/>
      <c r="J12" s="280"/>
      <c r="K12" s="281"/>
      <c r="L12" s="105"/>
      <c r="M12" s="8"/>
      <c r="N12" s="8"/>
      <c r="O12" s="8"/>
      <c r="P12" s="8"/>
      <c r="Q12" s="8"/>
      <c r="R12" s="8"/>
      <c r="S12" s="8"/>
      <c r="T12" s="8"/>
      <c r="U12" s="8"/>
      <c r="V12" s="8"/>
    </row>
    <row r="13" ht="13.65" customHeight="1">
      <c r="A13" s="282"/>
      <c r="B13" s="282"/>
      <c r="C13" s="282"/>
      <c r="D13" s="282"/>
      <c r="E13" s="282"/>
      <c r="F13" s="282"/>
      <c r="G13" s="26"/>
      <c r="H13" s="26"/>
      <c r="I13" s="26"/>
      <c r="J13" s="26"/>
      <c r="K13" s="26"/>
      <c r="L13" s="8"/>
      <c r="M13" s="8"/>
      <c r="N13" s="8"/>
      <c r="O13" s="8"/>
      <c r="P13" s="8"/>
      <c r="Q13" s="8"/>
      <c r="R13" s="8"/>
      <c r="S13" s="8"/>
      <c r="T13" s="8"/>
      <c r="U13" s="8"/>
      <c r="V13" s="8"/>
    </row>
    <row r="14" ht="19.45" customHeight="1">
      <c r="A14" t="s" s="283">
        <v>119</v>
      </c>
      <c r="B14" s="284"/>
      <c r="C14" s="285">
        <f>B10+1</f>
        <v>29.3333333333333</v>
      </c>
      <c r="D14" s="285">
        <f>C14+2</f>
        <v>31.3333333333333</v>
      </c>
      <c r="E14" s="285">
        <f>C14+4</f>
        <v>33.3333333333333</v>
      </c>
      <c r="F14" s="285">
        <f>C14+6</f>
        <v>35.3333333333333</v>
      </c>
      <c r="G14" s="286"/>
      <c r="H14" s="242"/>
      <c r="I14" s="242"/>
      <c r="J14" s="242"/>
      <c r="K14" s="242"/>
      <c r="L14" s="8"/>
      <c r="M14" s="8"/>
      <c r="N14" s="8"/>
      <c r="O14" s="8"/>
      <c r="P14" s="8"/>
      <c r="Q14" s="8"/>
      <c r="R14" s="8"/>
      <c r="S14" s="8"/>
      <c r="T14" s="8"/>
      <c r="U14" s="8"/>
      <c r="V14" s="8"/>
    </row>
    <row r="15" ht="19.45" customHeight="1">
      <c r="A15" t="s" s="287">
        <v>120</v>
      </c>
      <c r="B15" s="288"/>
      <c r="C15" s="289">
        <f>$J$10-C14</f>
        <v>43</v>
      </c>
      <c r="D15" s="289">
        <f>$J$10-D14</f>
        <v>41</v>
      </c>
      <c r="E15" s="289">
        <f>$J$10-E14</f>
        <v>39</v>
      </c>
      <c r="F15" s="289">
        <f>$J$10-F14</f>
        <v>37</v>
      </c>
      <c r="G15" t="s" s="290">
        <v>121</v>
      </c>
      <c r="H15" s="291"/>
      <c r="I15" s="291"/>
      <c r="J15" s="291"/>
      <c r="K15" s="292"/>
      <c r="L15" s="105"/>
      <c r="M15" s="8"/>
      <c r="N15" s="8"/>
      <c r="O15" s="8"/>
      <c r="P15" s="8"/>
      <c r="Q15" s="8"/>
      <c r="R15" s="8"/>
      <c r="S15" s="8"/>
      <c r="T15" s="8"/>
      <c r="U15" s="8"/>
      <c r="V15" s="8"/>
    </row>
    <row r="16" ht="40.85" customHeight="1">
      <c r="A16" s="288"/>
      <c r="B16" s="288"/>
      <c r="C16" s="289">
        <f>$K10-C14</f>
        <v>43.0707541822713</v>
      </c>
      <c r="D16" s="289">
        <f>$K10-D14</f>
        <v>41.0707541822713</v>
      </c>
      <c r="E16" s="289">
        <f>$K10-E14</f>
        <v>39.0707541822713</v>
      </c>
      <c r="F16" s="289">
        <f>$K10-F14</f>
        <v>37.0707541822713</v>
      </c>
      <c r="G16" s="293"/>
      <c r="H16" s="294"/>
      <c r="I16" s="294"/>
      <c r="J16" s="294"/>
      <c r="K16" s="295"/>
      <c r="L16" s="105"/>
      <c r="M16" s="8"/>
      <c r="N16" s="8"/>
      <c r="O16" s="8"/>
      <c r="P16" s="8"/>
      <c r="Q16" s="8"/>
      <c r="R16" s="8"/>
      <c r="S16" s="8"/>
      <c r="T16" s="8"/>
      <c r="U16" s="8"/>
      <c r="V16" s="8"/>
    </row>
    <row r="17" ht="15.35" customHeight="1">
      <c r="A17" s="26"/>
      <c r="B17" s="26"/>
      <c r="C17" s="26"/>
      <c r="D17" s="26"/>
      <c r="E17" s="26"/>
      <c r="F17" s="26"/>
      <c r="G17" s="26"/>
      <c r="H17" s="26"/>
      <c r="I17" s="26"/>
      <c r="J17" s="26"/>
      <c r="K17" s="26"/>
      <c r="L17" s="250"/>
      <c r="M17" s="250"/>
      <c r="N17" s="250"/>
      <c r="O17" s="250"/>
      <c r="P17" s="250"/>
      <c r="Q17" s="250"/>
      <c r="R17" s="8"/>
      <c r="S17" s="8"/>
      <c r="T17" s="8"/>
      <c r="U17" s="8"/>
      <c r="V17" s="8"/>
    </row>
  </sheetData>
  <mergeCells count="21">
    <mergeCell ref="A15:B16"/>
    <mergeCell ref="G15:K16"/>
    <mergeCell ref="K2:K3"/>
    <mergeCell ref="L2:L3"/>
    <mergeCell ref="M2:M3"/>
    <mergeCell ref="G2:G3"/>
    <mergeCell ref="O2:O3"/>
    <mergeCell ref="I2:I3"/>
    <mergeCell ref="Q2:Q3"/>
    <mergeCell ref="A12:K12"/>
    <mergeCell ref="A14:B14"/>
    <mergeCell ref="H2:H3"/>
    <mergeCell ref="N2:N3"/>
    <mergeCell ref="J2:J3"/>
    <mergeCell ref="P2:P3"/>
    <mergeCell ref="A1:E1"/>
    <mergeCell ref="F1:K1"/>
    <mergeCell ref="A2:A3"/>
    <mergeCell ref="B2:B3"/>
    <mergeCell ref="C2:E2"/>
    <mergeCell ref="F2:F3"/>
  </mergeCells>
  <pageMargins left="0.75" right="0.75" top="1" bottom="1" header="0.5" footer="0.5"/>
  <pageSetup firstPageNumber="1" fitToHeight="1" fitToWidth="1" scale="100" useFirstPageNumber="0" orientation="landscape" pageOrder="downThenOver"/>
  <headerFooter>
    <oddFooter>&amp;C&amp;"Helvetica Neue,Regular"&amp;12&amp;K000000&amp;P</oddFooter>
  </headerFooter>
</worksheet>
</file>

<file path=xl/worksheets/sheet8.xml><?xml version="1.0" encoding="utf-8"?>
<worksheet xmlns:r="http://schemas.openxmlformats.org/officeDocument/2006/relationships" xmlns="http://schemas.openxmlformats.org/spreadsheetml/2006/main">
  <dimension ref="A1:Q19"/>
  <sheetViews>
    <sheetView workbookViewId="0" showGridLines="0" defaultGridColor="1"/>
  </sheetViews>
  <sheetFormatPr defaultColWidth="10.8333" defaultRowHeight="15" customHeight="1" outlineLevelRow="0" outlineLevelCol="0"/>
  <cols>
    <col min="1" max="8" width="9.5" style="305" customWidth="1"/>
    <col min="9" max="9" width="11.3516" style="305" customWidth="1"/>
    <col min="10" max="11" width="8.5" style="305" customWidth="1"/>
    <col min="12" max="12" width="22.5" style="305" customWidth="1"/>
    <col min="13" max="17" width="10.8516" style="305" customWidth="1"/>
    <col min="18" max="16384" width="10.8516" style="305" customWidth="1"/>
  </cols>
  <sheetData>
    <row r="1" ht="16" customHeight="1">
      <c r="A1" s="94"/>
      <c r="B1" s="94"/>
      <c r="C1" s="94"/>
      <c r="D1" s="94"/>
      <c r="E1" s="94"/>
      <c r="F1" s="94"/>
      <c r="G1" s="94"/>
      <c r="H1" s="94"/>
      <c r="I1" s="94"/>
      <c r="J1" s="94"/>
      <c r="K1" s="94"/>
      <c r="L1" s="8"/>
      <c r="M1" s="8"/>
      <c r="N1" s="8"/>
      <c r="O1" s="8"/>
      <c r="P1" s="8"/>
      <c r="Q1" s="8"/>
    </row>
    <row r="2" ht="27" customHeight="1">
      <c r="A2" t="s" s="95">
        <v>130</v>
      </c>
      <c r="B2" s="96"/>
      <c r="C2" s="96"/>
      <c r="D2" s="96"/>
      <c r="E2" s="96"/>
      <c r="F2" s="96"/>
      <c r="G2" s="96"/>
      <c r="H2" s="96"/>
      <c r="I2" s="96"/>
      <c r="J2" s="96"/>
      <c r="K2" s="97"/>
      <c r="L2" s="98"/>
      <c r="M2" s="8"/>
      <c r="N2" s="8"/>
      <c r="O2" s="8"/>
      <c r="P2" s="8"/>
      <c r="Q2" s="8"/>
    </row>
    <row r="3" ht="38" customHeight="1">
      <c r="A3" t="s" s="190">
        <v>39</v>
      </c>
      <c r="B3" s="191"/>
      <c r="C3" s="191"/>
      <c r="D3" s="191"/>
      <c r="E3" s="192"/>
      <c r="F3" t="s" s="99">
        <v>40</v>
      </c>
      <c r="G3" s="193"/>
      <c r="H3" s="193"/>
      <c r="I3" s="193"/>
      <c r="J3" s="193"/>
      <c r="K3" s="194"/>
      <c r="L3" s="105"/>
      <c r="M3" s="8"/>
      <c r="N3" s="8"/>
      <c r="O3" s="8"/>
      <c r="P3" s="8"/>
      <c r="Q3" s="8"/>
    </row>
    <row r="4" ht="15.35" customHeight="1">
      <c r="A4" s="243"/>
      <c r="B4" t="s" s="244">
        <v>96</v>
      </c>
      <c r="C4" t="s" s="245">
        <v>97</v>
      </c>
      <c r="D4" s="246"/>
      <c r="E4" s="246"/>
      <c r="F4" t="s" s="244">
        <v>98</v>
      </c>
      <c r="G4" t="s" s="245">
        <v>131</v>
      </c>
      <c r="H4" t="s" s="245">
        <v>100</v>
      </c>
      <c r="I4" t="s" s="245">
        <v>101</v>
      </c>
      <c r="J4" t="s" s="245">
        <v>102</v>
      </c>
      <c r="K4" t="s" s="245">
        <v>103</v>
      </c>
      <c r="L4" s="249"/>
      <c r="M4" s="250"/>
      <c r="N4" s="250"/>
      <c r="O4" s="250"/>
      <c r="P4" s="250"/>
      <c r="Q4" s="250"/>
    </row>
    <row r="5" ht="15" customHeight="1">
      <c r="A5" s="251"/>
      <c r="B5" s="252"/>
      <c r="C5" t="s" s="253">
        <v>110</v>
      </c>
      <c r="D5" t="s" s="253">
        <v>111</v>
      </c>
      <c r="E5" t="s" s="253">
        <v>57</v>
      </c>
      <c r="F5" s="254"/>
      <c r="G5" s="246"/>
      <c r="H5" s="246"/>
      <c r="I5" s="255"/>
      <c r="J5" s="255"/>
      <c r="K5" s="255"/>
      <c r="L5" s="249"/>
      <c r="M5" s="250"/>
      <c r="N5" s="250"/>
      <c r="O5" s="250"/>
      <c r="P5" s="250"/>
      <c r="Q5" s="250"/>
    </row>
    <row r="6" ht="18" customHeight="1">
      <c r="A6" t="s" s="259">
        <v>112</v>
      </c>
      <c r="B6" s="260">
        <v>38</v>
      </c>
      <c r="C6" s="261">
        <v>28</v>
      </c>
      <c r="D6" s="261">
        <v>27.4</v>
      </c>
      <c r="E6" s="262">
        <f>AVERAGE(C6:D6)</f>
        <v>27.7</v>
      </c>
      <c r="F6" s="261">
        <v>12</v>
      </c>
      <c r="G6" s="263">
        <f>((20/$F6)/($E6/60))</f>
        <v>3.6101083032491</v>
      </c>
      <c r="H6" s="264">
        <v>35</v>
      </c>
      <c r="I6" s="263">
        <f>((20/$F6)^2)*$G6</f>
        <v>10.0280786201364</v>
      </c>
      <c r="J6" s="265">
        <f>B6+H6</f>
        <v>73</v>
      </c>
      <c r="K6" s="266">
        <f>(1+(1/((E6/60)*2)))*H6</f>
        <v>72.90613718411549</v>
      </c>
      <c r="L6" s="105"/>
      <c r="M6" s="8"/>
      <c r="N6" s="8"/>
      <c r="O6" s="8"/>
      <c r="P6" s="8"/>
      <c r="Q6" s="8"/>
    </row>
    <row r="7" ht="18" customHeight="1">
      <c r="A7" t="s" s="259">
        <v>113</v>
      </c>
      <c r="B7" s="260">
        <v>36.3</v>
      </c>
      <c r="C7" s="261">
        <v>30.2</v>
      </c>
      <c r="D7" s="261">
        <v>31</v>
      </c>
      <c r="E7" s="262">
        <f>AVERAGE(C7:D7)</f>
        <v>30.6</v>
      </c>
      <c r="F7" s="261">
        <v>12</v>
      </c>
      <c r="G7" s="263">
        <f>((20/$F7)/($E7/60))</f>
        <v>3.26797385620915</v>
      </c>
      <c r="H7" s="264">
        <v>37</v>
      </c>
      <c r="I7" s="263">
        <f>((20/$F7)^2)*$G7</f>
        <v>9.077705156136529</v>
      </c>
      <c r="J7" s="265">
        <f>B7+H7</f>
        <v>73.3</v>
      </c>
      <c r="K7" s="266">
        <f>(1+(1/((E7/60)*2)))*H7</f>
        <v>73.2745098039216</v>
      </c>
      <c r="L7" s="105"/>
      <c r="M7" s="8"/>
      <c r="N7" s="8"/>
      <c r="O7" s="8"/>
      <c r="P7" s="8"/>
      <c r="Q7" s="8"/>
    </row>
    <row r="8" ht="18" customHeight="1">
      <c r="A8" t="s" s="259">
        <v>114</v>
      </c>
      <c r="B8" s="260">
        <v>34.1</v>
      </c>
      <c r="C8" s="261">
        <v>35.6</v>
      </c>
      <c r="D8" s="261">
        <v>36</v>
      </c>
      <c r="E8" s="262">
        <f>AVERAGE(C8:D8)</f>
        <v>35.8</v>
      </c>
      <c r="F8" s="261">
        <v>12</v>
      </c>
      <c r="G8" s="263">
        <f>((20/$F8)/($E8/60))</f>
        <v>2.79329608938547</v>
      </c>
      <c r="H8" s="264">
        <v>40</v>
      </c>
      <c r="I8" s="263">
        <f>((20/$F8)^2)*$G8</f>
        <v>7.75915580384853</v>
      </c>
      <c r="J8" s="265">
        <f>B8+H8</f>
        <v>74.09999999999999</v>
      </c>
      <c r="K8" s="266">
        <f>(1+(1/((E8/60)*2)))*H8</f>
        <v>73.5195530726257</v>
      </c>
      <c r="L8" s="105"/>
      <c r="M8" s="8"/>
      <c r="N8" s="8"/>
      <c r="O8" s="8"/>
      <c r="P8" s="8"/>
      <c r="Q8" s="8"/>
    </row>
    <row r="9" ht="18" customHeight="1">
      <c r="A9" t="s" s="259">
        <v>115</v>
      </c>
      <c r="B9" s="260">
        <v>31.9</v>
      </c>
      <c r="C9" s="261">
        <v>42.3</v>
      </c>
      <c r="D9" s="261">
        <v>43.2</v>
      </c>
      <c r="E9" s="262">
        <f>AVERAGE(C9:D9)</f>
        <v>42.75</v>
      </c>
      <c r="F9" s="261">
        <v>12</v>
      </c>
      <c r="G9" s="263">
        <f>((20/$F9)/($E9/60))</f>
        <v>2.33918128654971</v>
      </c>
      <c r="H9" s="264">
        <v>43</v>
      </c>
      <c r="I9" s="263">
        <f>((20/$F9)^2)*$G9</f>
        <v>6.49772579597142</v>
      </c>
      <c r="J9" s="265">
        <f>B9+H9</f>
        <v>74.90000000000001</v>
      </c>
      <c r="K9" s="266">
        <f>(1+(1/((E9/60)*2)))*H9</f>
        <v>73.1754385964912</v>
      </c>
      <c r="L9" s="105"/>
      <c r="M9" s="8"/>
      <c r="N9" s="8"/>
      <c r="O9" s="8"/>
      <c r="P9" s="8"/>
      <c r="Q9" s="8"/>
    </row>
    <row r="10" ht="18" customHeight="1">
      <c r="A10" t="s" s="259">
        <v>116</v>
      </c>
      <c r="B10" s="260">
        <v>30.2</v>
      </c>
      <c r="C10" s="261">
        <v>47.6</v>
      </c>
      <c r="D10" s="261">
        <v>48.3</v>
      </c>
      <c r="E10" s="262">
        <f>AVERAGE(C10:D10)</f>
        <v>47.95</v>
      </c>
      <c r="F10" s="261">
        <v>12</v>
      </c>
      <c r="G10" s="263">
        <f>((20/$F10)/($E10/60))</f>
        <v>2.08550573514077</v>
      </c>
      <c r="H10" s="264">
        <v>45</v>
      </c>
      <c r="I10" s="263">
        <f>((20/$F10)^2)*$G10</f>
        <v>5.79307148650214</v>
      </c>
      <c r="J10" s="265">
        <f>B10+H10</f>
        <v>75.2</v>
      </c>
      <c r="K10" s="266">
        <f>(1+(1/((E10/60)*2)))*H10</f>
        <v>73.15432742440041</v>
      </c>
      <c r="L10" s="105"/>
      <c r="M10" s="8"/>
      <c r="N10" s="8"/>
      <c r="O10" s="8"/>
      <c r="P10" s="8"/>
      <c r="Q10" s="8"/>
    </row>
    <row r="11" ht="18" customHeight="1">
      <c r="A11" t="s" s="259">
        <v>117</v>
      </c>
      <c r="B11" s="260">
        <v>28.5</v>
      </c>
      <c r="C11" s="261">
        <v>52.2</v>
      </c>
      <c r="D11" s="261">
        <v>53.5</v>
      </c>
      <c r="E11" s="262">
        <f>AVERAGE(C11:D11)</f>
        <v>52.85</v>
      </c>
      <c r="F11" s="261">
        <v>12</v>
      </c>
      <c r="G11" s="263">
        <f>((20/$F11)/($E11/60))</f>
        <v>1.89214758751183</v>
      </c>
      <c r="H11" s="264">
        <v>48</v>
      </c>
      <c r="I11" s="263">
        <f>((20/$F11)^2)*$G11</f>
        <v>5.2559655208662</v>
      </c>
      <c r="J11" s="265">
        <f>B11+H11</f>
        <v>76.5</v>
      </c>
      <c r="K11" s="266">
        <f>(1+(1/((E11/60)*2)))*H11</f>
        <v>75.2469252601703</v>
      </c>
      <c r="L11" s="105"/>
      <c r="M11" s="8"/>
      <c r="N11" s="8"/>
      <c r="O11" s="8"/>
      <c r="P11" s="8"/>
      <c r="Q11" s="8"/>
    </row>
    <row r="12" ht="18" customHeight="1">
      <c r="A12" t="s" s="306">
        <v>132</v>
      </c>
      <c r="B12" s="307"/>
      <c r="C12" s="307"/>
      <c r="D12" s="307"/>
      <c r="E12" s="307"/>
      <c r="F12" s="307"/>
      <c r="G12" s="307"/>
      <c r="H12" s="308"/>
      <c r="I12" s="271">
        <f>MAX(I6:I11)</f>
        <v>10.0280786201364</v>
      </c>
      <c r="J12" s="270">
        <f>MIN(J6:J11)</f>
        <v>73</v>
      </c>
      <c r="K12" s="273">
        <f>MIN(K6:K11)</f>
        <v>72.90613718411549</v>
      </c>
      <c r="L12" s="105"/>
      <c r="M12" s="8"/>
      <c r="N12" s="8"/>
      <c r="O12" s="8"/>
      <c r="P12" s="8"/>
      <c r="Q12" s="8"/>
    </row>
    <row r="13" ht="15" customHeight="1">
      <c r="A13" s="275"/>
      <c r="B13" s="276"/>
      <c r="C13" s="276"/>
      <c r="D13" s="276"/>
      <c r="E13" s="276"/>
      <c r="F13" s="276"/>
      <c r="G13" s="276"/>
      <c r="H13" s="276"/>
      <c r="I13" s="276"/>
      <c r="J13" s="276"/>
      <c r="K13" s="276"/>
      <c r="L13" s="144"/>
      <c r="M13" s="8"/>
      <c r="N13" s="8"/>
      <c r="O13" s="8"/>
      <c r="P13" s="8"/>
      <c r="Q13" s="8"/>
    </row>
    <row r="14" ht="96" customHeight="1">
      <c r="A14" t="s" s="278">
        <v>133</v>
      </c>
      <c r="B14" s="279"/>
      <c r="C14" s="279"/>
      <c r="D14" s="279"/>
      <c r="E14" s="279"/>
      <c r="F14" s="279"/>
      <c r="G14" s="279"/>
      <c r="H14" s="279"/>
      <c r="I14" s="279"/>
      <c r="J14" s="280"/>
      <c r="K14" s="281"/>
      <c r="L14" s="105"/>
      <c r="M14" s="8"/>
      <c r="N14" s="8"/>
      <c r="O14" s="8"/>
      <c r="P14" s="8"/>
      <c r="Q14" s="8"/>
    </row>
    <row r="15" ht="15" customHeight="1">
      <c r="A15" s="282"/>
      <c r="B15" s="282"/>
      <c r="C15" s="282"/>
      <c r="D15" s="282"/>
      <c r="E15" s="26"/>
      <c r="F15" s="26"/>
      <c r="G15" s="26"/>
      <c r="H15" s="26"/>
      <c r="I15" s="26"/>
      <c r="J15" s="26"/>
      <c r="K15" s="26"/>
      <c r="L15" s="8"/>
      <c r="M15" s="8"/>
      <c r="N15" s="8"/>
      <c r="O15" s="8"/>
      <c r="P15" s="8"/>
      <c r="Q15" s="8"/>
    </row>
    <row r="16" ht="20" customHeight="1">
      <c r="A16" t="s" s="283">
        <v>119</v>
      </c>
      <c r="B16" s="284"/>
      <c r="C16" s="309">
        <f>B10</f>
        <v>30.2</v>
      </c>
      <c r="D16" s="309">
        <f>B11</f>
        <v>28.5</v>
      </c>
      <c r="E16" s="286"/>
      <c r="F16" s="242"/>
      <c r="G16" s="242"/>
      <c r="H16" s="242"/>
      <c r="I16" s="242"/>
      <c r="J16" s="242"/>
      <c r="K16" s="242"/>
      <c r="L16" s="8"/>
      <c r="M16" s="8"/>
      <c r="N16" s="8"/>
      <c r="O16" s="8"/>
      <c r="P16" s="8"/>
      <c r="Q16" s="8"/>
    </row>
    <row r="17" ht="19.45" customHeight="1">
      <c r="A17" t="s" s="310">
        <v>134</v>
      </c>
      <c r="B17" s="311"/>
      <c r="C17" s="312">
        <f>((20/F10)/(($I$12/((20/F10)^2))))*60</f>
        <v>27.7</v>
      </c>
      <c r="D17" s="312">
        <f>((20/F11)/(($I$12/((20/F11)^2))))*60</f>
        <v>27.7</v>
      </c>
      <c r="E17" t="s" s="290">
        <v>135</v>
      </c>
      <c r="F17" s="313"/>
      <c r="G17" s="313"/>
      <c r="H17" s="313"/>
      <c r="I17" s="313"/>
      <c r="J17" s="314"/>
      <c r="K17" s="315"/>
      <c r="L17" s="105"/>
      <c r="M17" s="8"/>
      <c r="N17" s="8"/>
      <c r="O17" s="8"/>
      <c r="P17" s="8"/>
      <c r="Q17" s="8"/>
    </row>
    <row r="18" ht="20" customHeight="1">
      <c r="A18" t="s" s="316">
        <v>136</v>
      </c>
      <c r="B18" s="311"/>
      <c r="C18" s="289">
        <f>K12/((1/((C17/60)*2))+1)</f>
        <v>35</v>
      </c>
      <c r="D18" s="289">
        <f>K12/((1/((D17/60)*2))+1)</f>
        <v>35</v>
      </c>
      <c r="E18" s="317"/>
      <c r="F18" s="318"/>
      <c r="G18" s="318"/>
      <c r="H18" s="318"/>
      <c r="I18" s="318"/>
      <c r="J18" s="319"/>
      <c r="K18" s="320"/>
      <c r="L18" s="105"/>
      <c r="M18" s="8"/>
      <c r="N18" s="8"/>
      <c r="O18" s="8"/>
      <c r="P18" s="8"/>
      <c r="Q18" s="8"/>
    </row>
    <row r="19" ht="15" customHeight="1">
      <c r="A19" s="321"/>
      <c r="B19" s="321"/>
      <c r="C19" s="321"/>
      <c r="D19" s="321"/>
      <c r="E19" s="321"/>
      <c r="F19" s="321"/>
      <c r="G19" s="321"/>
      <c r="H19" s="321"/>
      <c r="I19" s="321"/>
      <c r="J19" s="321"/>
      <c r="K19" s="321"/>
      <c r="L19" s="322"/>
      <c r="M19" s="322"/>
      <c r="N19" s="322"/>
      <c r="O19" s="322"/>
      <c r="P19" s="322"/>
      <c r="Q19" s="322"/>
    </row>
  </sheetData>
  <mergeCells count="18">
    <mergeCell ref="I4:I5"/>
    <mergeCell ref="J4:J5"/>
    <mergeCell ref="A4:A5"/>
    <mergeCell ref="B4:B5"/>
    <mergeCell ref="C4:E4"/>
    <mergeCell ref="F4:F5"/>
    <mergeCell ref="G4:G5"/>
    <mergeCell ref="H4:H5"/>
    <mergeCell ref="A2:K2"/>
    <mergeCell ref="K4:K5"/>
    <mergeCell ref="A12:H12"/>
    <mergeCell ref="A14:K14"/>
    <mergeCell ref="A16:B16"/>
    <mergeCell ref="A17:B17"/>
    <mergeCell ref="E17:K18"/>
    <mergeCell ref="A18:B18"/>
    <mergeCell ref="A3:E3"/>
    <mergeCell ref="F3:K3"/>
  </mergeCells>
  <pageMargins left="0.75" right="0.75" top="1" bottom="1" header="0.5" footer="0.5"/>
  <pageSetup firstPageNumber="1" fitToHeight="1" fitToWidth="1" scale="100" useFirstPageNumber="0" orientation="portrait" pageOrder="downThenOver"/>
  <headerFooter>
    <oddFooter>&amp;C&amp;"Helvetica Neue,Regular"&amp;12&amp;K000000&amp;P</oddFooter>
  </headerFooter>
  <drawing r:id="rId1"/>
</worksheet>
</file>

<file path=xl/worksheets/sheet9.xml><?xml version="1.0" encoding="utf-8"?>
<worksheet xmlns:r="http://schemas.openxmlformats.org/officeDocument/2006/relationships" xmlns="http://schemas.openxmlformats.org/spreadsheetml/2006/main">
  <dimension ref="A1:K22"/>
  <sheetViews>
    <sheetView workbookViewId="0" showGridLines="0" defaultGridColor="1"/>
  </sheetViews>
  <sheetFormatPr defaultColWidth="10.8333" defaultRowHeight="20" customHeight="1" outlineLevelRow="0" outlineLevelCol="0"/>
  <cols>
    <col min="1" max="1" width="9.35156" style="323" customWidth="1"/>
    <col min="2" max="2" width="11.1719" style="323" customWidth="1"/>
    <col min="3" max="5" width="9.67188" style="323" customWidth="1"/>
    <col min="6" max="6" width="16" style="323" customWidth="1"/>
    <col min="7" max="9" width="12" style="323" customWidth="1"/>
    <col min="10" max="11" width="10.8516" style="323" customWidth="1"/>
    <col min="12" max="16384" width="10.8516" style="323" customWidth="1"/>
  </cols>
  <sheetData>
    <row r="1" ht="21" customHeight="1">
      <c r="A1" s="94"/>
      <c r="B1" s="94"/>
      <c r="C1" s="94"/>
      <c r="D1" s="94"/>
      <c r="E1" s="94"/>
      <c r="F1" s="94"/>
      <c r="G1" s="94"/>
      <c r="H1" s="94"/>
      <c r="I1" s="94"/>
      <c r="J1" s="324"/>
      <c r="K1" s="325"/>
    </row>
    <row r="2" ht="35" customHeight="1">
      <c r="A2" t="s" s="326">
        <v>137</v>
      </c>
      <c r="B2" s="327"/>
      <c r="C2" s="327"/>
      <c r="D2" s="327"/>
      <c r="E2" s="327"/>
      <c r="F2" s="327"/>
      <c r="G2" s="327"/>
      <c r="H2" s="327"/>
      <c r="I2" s="327"/>
      <c r="J2" s="328"/>
      <c r="K2" s="329"/>
    </row>
    <row r="3" ht="21" customHeight="1">
      <c r="A3" t="s" s="330">
        <v>0</v>
      </c>
      <c r="B3" s="331"/>
      <c r="C3" s="331"/>
      <c r="D3" s="331"/>
      <c r="E3" s="332"/>
      <c r="F3" t="s" s="333">
        <v>138</v>
      </c>
      <c r="G3" s="334"/>
      <c r="H3" s="334"/>
      <c r="I3" s="334"/>
      <c r="J3" s="335"/>
      <c r="K3" s="336"/>
    </row>
    <row r="4" ht="18" customHeight="1">
      <c r="A4" t="s" s="337">
        <v>139</v>
      </c>
      <c r="B4" s="337"/>
      <c r="C4" s="338"/>
      <c r="D4" s="338"/>
      <c r="E4" s="338"/>
      <c r="F4" s="338"/>
      <c r="G4" s="338"/>
      <c r="H4" s="338"/>
      <c r="I4" s="338"/>
      <c r="J4" s="337"/>
      <c r="K4" s="325"/>
    </row>
    <row r="5" ht="18" customHeight="1">
      <c r="A5" s="339"/>
      <c r="B5" t="s" s="340">
        <v>48</v>
      </c>
      <c r="C5" t="s" s="341">
        <v>140</v>
      </c>
      <c r="D5" s="342"/>
      <c r="E5" s="342"/>
      <c r="F5" t="s" s="341">
        <v>141</v>
      </c>
      <c r="G5" t="s" s="341">
        <v>100</v>
      </c>
      <c r="H5" t="s" s="343">
        <v>142</v>
      </c>
      <c r="I5" t="s" s="341">
        <v>143</v>
      </c>
      <c r="J5" t="s" s="340">
        <v>144</v>
      </c>
      <c r="K5" s="344"/>
    </row>
    <row r="6" ht="12" customHeight="1">
      <c r="A6" s="345"/>
      <c r="B6" s="346"/>
      <c r="C6" t="s" s="347">
        <v>145</v>
      </c>
      <c r="D6" t="s" s="347">
        <v>146</v>
      </c>
      <c r="E6" t="s" s="347">
        <v>57</v>
      </c>
      <c r="F6" s="348"/>
      <c r="G6" s="348"/>
      <c r="H6" s="349"/>
      <c r="I6" s="350"/>
      <c r="J6" s="346"/>
      <c r="K6" s="344"/>
    </row>
    <row r="7" ht="18" customHeight="1">
      <c r="A7" t="s" s="351">
        <v>112</v>
      </c>
      <c r="B7" s="352">
        <v>29.3</v>
      </c>
      <c r="C7" s="353">
        <v>47</v>
      </c>
      <c r="D7" s="354">
        <v>43</v>
      </c>
      <c r="E7" s="355">
        <f>AVERAGE(C7:D7)</f>
        <v>45</v>
      </c>
      <c r="F7" s="356">
        <f>((50/$B7)/($E7/60))</f>
        <v>2.27531285551763</v>
      </c>
      <c r="G7" s="357">
        <v>33</v>
      </c>
      <c r="H7" s="358"/>
      <c r="I7" s="359">
        <f>((50/$B7)^2)*$F7</f>
        <v>6.62591543150657</v>
      </c>
      <c r="J7" s="360">
        <f>G7+B7</f>
        <v>62.3</v>
      </c>
      <c r="K7" s="325"/>
    </row>
    <row r="8" ht="18" customHeight="1">
      <c r="A8" t="s" s="361">
        <v>147</v>
      </c>
      <c r="B8" s="362">
        <v>61.8</v>
      </c>
      <c r="C8" s="363">
        <v>44</v>
      </c>
      <c r="D8" s="364">
        <v>41</v>
      </c>
      <c r="E8" s="365">
        <f>AVERAGE(C8:D8)</f>
        <v>42.5</v>
      </c>
      <c r="F8" s="366">
        <f>((100/$B8)/($E8/60))</f>
        <v>2.28440890919475</v>
      </c>
      <c r="G8" s="367">
        <v>32</v>
      </c>
      <c r="H8" s="368">
        <v>35</v>
      </c>
      <c r="I8" s="369">
        <f>((100/$B8)^2)*$F8</f>
        <v>5.98131803498798</v>
      </c>
      <c r="J8" s="370">
        <f>(G8+H8+B8)/2</f>
        <v>64.40000000000001</v>
      </c>
      <c r="K8" s="325"/>
    </row>
    <row r="9" ht="18" customHeight="1">
      <c r="A9" t="s" s="371">
        <v>114</v>
      </c>
      <c r="B9" s="362">
        <v>28.7</v>
      </c>
      <c r="C9" s="372">
        <v>49</v>
      </c>
      <c r="D9" s="373">
        <v>42</v>
      </c>
      <c r="E9" s="365">
        <f>AVERAGE(C9:D9)</f>
        <v>45.5</v>
      </c>
      <c r="F9" s="374">
        <f>((50/$B9)/($E9/60))</f>
        <v>2.29735421373052</v>
      </c>
      <c r="G9" s="367">
        <v>34</v>
      </c>
      <c r="H9" s="375"/>
      <c r="I9" s="369">
        <f>((50/$B9)^2)*$F9</f>
        <v>6.97275131946035</v>
      </c>
      <c r="J9" s="376">
        <f>G9+B9</f>
        <v>62.7</v>
      </c>
      <c r="K9" s="325"/>
    </row>
    <row r="10" ht="18" customHeight="1">
      <c r="A10" t="s" s="377">
        <v>148</v>
      </c>
      <c r="B10" s="378">
        <f>SUM(B7:B9)</f>
        <v>119.8</v>
      </c>
      <c r="C10" s="378"/>
      <c r="D10" s="378"/>
      <c r="E10" s="378">
        <f>AVERAGE(E7:E9)</f>
        <v>44.3333333333333</v>
      </c>
      <c r="F10" s="379">
        <f>AVERAGE(F7:F9)</f>
        <v>2.2856919928143</v>
      </c>
      <c r="G10" s="380"/>
      <c r="H10" s="380"/>
      <c r="I10" s="379">
        <f>AVERAGE(I7:I9)</f>
        <v>6.5266615953183</v>
      </c>
      <c r="J10" s="378">
        <f>AVERAGE(J7:J9)</f>
        <v>63.1333333333333</v>
      </c>
      <c r="K10" s="344"/>
    </row>
    <row r="11" ht="18" customHeight="1">
      <c r="A11" t="s" s="351">
        <v>112</v>
      </c>
      <c r="B11" s="352">
        <v>29.1</v>
      </c>
      <c r="C11" s="353">
        <v>44</v>
      </c>
      <c r="D11" s="354">
        <v>44</v>
      </c>
      <c r="E11" s="355">
        <f>AVERAGE(C11:D11)</f>
        <v>44</v>
      </c>
      <c r="F11" s="356">
        <f>((50/$B11)/($E11/60))</f>
        <v>2.34301780693533</v>
      </c>
      <c r="G11" s="357">
        <v>34</v>
      </c>
      <c r="H11" s="358"/>
      <c r="I11" s="359">
        <f>((50/$B11)^2)*$F11</f>
        <v>6.91718864602251</v>
      </c>
      <c r="J11" s="360">
        <f>G11+B11</f>
        <v>63.1</v>
      </c>
      <c r="K11" s="325"/>
    </row>
    <row r="12" ht="18" customHeight="1">
      <c r="A12" t="s" s="361">
        <v>147</v>
      </c>
      <c r="B12" s="362">
        <v>62.2</v>
      </c>
      <c r="C12" s="363">
        <v>44</v>
      </c>
      <c r="D12" s="364">
        <v>40.5</v>
      </c>
      <c r="E12" s="365">
        <f>AVERAGE(C12:D12)</f>
        <v>42.25</v>
      </c>
      <c r="F12" s="366">
        <f>((100/$B12)/($E12/60))</f>
        <v>2.28314846172872</v>
      </c>
      <c r="G12" s="367">
        <v>34</v>
      </c>
      <c r="H12" s="368">
        <v>35</v>
      </c>
      <c r="I12" s="369">
        <f>((100/$B12)^2)*$F12</f>
        <v>5.90137731653085</v>
      </c>
      <c r="J12" s="370">
        <f>(G12+H12+B12)/2</f>
        <v>65.59999999999999</v>
      </c>
      <c r="K12" s="325"/>
    </row>
    <row r="13" ht="18" customHeight="1">
      <c r="A13" t="s" s="371">
        <v>114</v>
      </c>
      <c r="B13" s="362">
        <v>29.1</v>
      </c>
      <c r="C13" s="372">
        <v>45.5</v>
      </c>
      <c r="D13" s="373">
        <v>45.5</v>
      </c>
      <c r="E13" s="365">
        <f>AVERAGE(C13:D13)</f>
        <v>45.5</v>
      </c>
      <c r="F13" s="374">
        <f>((50/$B13)/($E13/60))</f>
        <v>2.26577546165175</v>
      </c>
      <c r="G13" s="367">
        <v>35</v>
      </c>
      <c r="H13" s="375"/>
      <c r="I13" s="369">
        <f>((50/$B13)^2)*$F13</f>
        <v>6.68914945988991</v>
      </c>
      <c r="J13" s="376">
        <f>G13+B13</f>
        <v>64.09999999999999</v>
      </c>
      <c r="K13" s="325"/>
    </row>
    <row r="14" ht="18" customHeight="1">
      <c r="A14" t="s" s="377">
        <v>148</v>
      </c>
      <c r="B14" s="378">
        <f>SUM(B11:B13)</f>
        <v>120.4</v>
      </c>
      <c r="C14" s="378"/>
      <c r="D14" s="378"/>
      <c r="E14" s="378">
        <f>AVERAGE(E11:E13)</f>
        <v>43.9166666666667</v>
      </c>
      <c r="F14" s="379">
        <f>AVERAGE(F11:F13)</f>
        <v>2.29731391010527</v>
      </c>
      <c r="G14" s="380"/>
      <c r="H14" s="380"/>
      <c r="I14" s="379">
        <f>AVERAGE(I11:I13)</f>
        <v>6.50257180748109</v>
      </c>
      <c r="J14" s="378">
        <f>AVERAGE(J11:J13)</f>
        <v>64.26666666666669</v>
      </c>
      <c r="K14" s="344"/>
    </row>
    <row r="15" ht="18" customHeight="1">
      <c r="A15" t="s" s="351">
        <v>112</v>
      </c>
      <c r="B15" s="352">
        <v>29.3</v>
      </c>
      <c r="C15" s="353">
        <v>44</v>
      </c>
      <c r="D15" s="354">
        <v>44</v>
      </c>
      <c r="E15" s="355">
        <f>AVERAGE(C15:D15)</f>
        <v>44</v>
      </c>
      <c r="F15" s="356">
        <f>((50/$B15)/($E15/60))</f>
        <v>2.32702451132485</v>
      </c>
      <c r="G15" s="357">
        <v>34</v>
      </c>
      <c r="H15" s="358"/>
      <c r="I15" s="359">
        <f>((50/$B15)^2)*$F15</f>
        <v>6.77650441858627</v>
      </c>
      <c r="J15" s="360">
        <f>G15+B15</f>
        <v>63.3</v>
      </c>
      <c r="K15" s="325"/>
    </row>
    <row r="16" ht="18" customHeight="1">
      <c r="A16" t="s" s="361">
        <v>147</v>
      </c>
      <c r="B16" s="362">
        <v>62.4</v>
      </c>
      <c r="C16" s="363">
        <v>44</v>
      </c>
      <c r="D16" s="364">
        <v>41</v>
      </c>
      <c r="E16" s="365">
        <f>AVERAGE(C16:D16)</f>
        <v>42.5</v>
      </c>
      <c r="F16" s="366">
        <f>((100/$B16)/($E16/60))</f>
        <v>2.26244343891403</v>
      </c>
      <c r="G16" s="367">
        <v>32</v>
      </c>
      <c r="H16" s="368">
        <v>36</v>
      </c>
      <c r="I16" s="369">
        <f>((100/$B16)^2)*$F16</f>
        <v>5.81043371680337</v>
      </c>
      <c r="J16" s="370">
        <f>(G16+H16+B16)/2</f>
        <v>65.2</v>
      </c>
      <c r="K16" s="325"/>
    </row>
    <row r="17" ht="18" customHeight="1">
      <c r="A17" t="s" s="371">
        <v>114</v>
      </c>
      <c r="B17" s="362">
        <v>29.1</v>
      </c>
      <c r="C17" s="372">
        <v>45.5</v>
      </c>
      <c r="D17" s="373">
        <v>45.5</v>
      </c>
      <c r="E17" s="365">
        <f>AVERAGE(C17:D17)</f>
        <v>45.5</v>
      </c>
      <c r="F17" s="374">
        <f>((50/$B17)/($E17/60))</f>
        <v>2.26577546165175</v>
      </c>
      <c r="G17" s="367">
        <v>34</v>
      </c>
      <c r="H17" s="375"/>
      <c r="I17" s="369">
        <f>((50/$B17)^2)*$F17</f>
        <v>6.68914945988991</v>
      </c>
      <c r="J17" s="376">
        <f>G17+B17</f>
        <v>63.1</v>
      </c>
      <c r="K17" s="325"/>
    </row>
    <row r="18" ht="18" customHeight="1">
      <c r="A18" t="s" s="377">
        <v>148</v>
      </c>
      <c r="B18" s="378">
        <f>SUM(B15:B17)</f>
        <v>120.8</v>
      </c>
      <c r="C18" s="378"/>
      <c r="D18" s="378"/>
      <c r="E18" s="378">
        <f>AVERAGE(E15:E17)</f>
        <v>44</v>
      </c>
      <c r="F18" s="379">
        <f>AVERAGE(F15:F17)</f>
        <v>2.28508113729688</v>
      </c>
      <c r="G18" s="380"/>
      <c r="H18" s="380"/>
      <c r="I18" s="379">
        <f>AVERAGE(I15:I17)</f>
        <v>6.42536253175985</v>
      </c>
      <c r="J18" s="378">
        <f>AVERAGE(J15:J17)</f>
        <v>63.8666666666667</v>
      </c>
      <c r="K18" s="344"/>
    </row>
    <row r="19" ht="20" customHeight="1">
      <c r="A19" s="26"/>
      <c r="B19" s="26"/>
      <c r="C19" s="26"/>
      <c r="D19" s="26"/>
      <c r="E19" s="26"/>
      <c r="F19" s="26"/>
      <c r="G19" s="26"/>
      <c r="H19" s="26"/>
      <c r="I19" s="26"/>
      <c r="J19" s="381"/>
      <c r="K19" s="325"/>
    </row>
    <row r="20" ht="41" customHeight="1">
      <c r="A20" t="s" s="382">
        <v>149</v>
      </c>
      <c r="B20" s="382"/>
      <c r="C20" s="382"/>
      <c r="D20" s="382"/>
      <c r="E20" s="382"/>
      <c r="F20" s="382"/>
      <c r="G20" s="382"/>
      <c r="H20" s="382"/>
      <c r="I20" s="382"/>
      <c r="J20" s="383"/>
      <c r="K20" s="325"/>
    </row>
    <row r="21" ht="93" customHeight="1">
      <c r="A21" t="s" s="382">
        <v>150</v>
      </c>
      <c r="B21" s="382"/>
      <c r="C21" s="382"/>
      <c r="D21" s="382"/>
      <c r="E21" s="382"/>
      <c r="F21" s="382"/>
      <c r="G21" s="382"/>
      <c r="H21" s="382"/>
      <c r="I21" s="382"/>
      <c r="J21" s="383"/>
      <c r="K21" s="325"/>
    </row>
    <row r="22" ht="51" customHeight="1">
      <c r="A22" t="s" s="382">
        <v>151</v>
      </c>
      <c r="B22" s="382"/>
      <c r="C22" s="382"/>
      <c r="D22" s="382"/>
      <c r="E22" s="382"/>
      <c r="F22" s="382"/>
      <c r="G22" s="382"/>
      <c r="H22" s="382"/>
      <c r="I22" s="382"/>
      <c r="J22" s="383"/>
      <c r="K22" s="325"/>
    </row>
  </sheetData>
  <mergeCells count="15">
    <mergeCell ref="A22:J22"/>
    <mergeCell ref="J5:J6"/>
    <mergeCell ref="A20:J20"/>
    <mergeCell ref="A21:J21"/>
    <mergeCell ref="A4:J4"/>
    <mergeCell ref="A5:A6"/>
    <mergeCell ref="B5:B6"/>
    <mergeCell ref="C5:E5"/>
    <mergeCell ref="F5:F6"/>
    <mergeCell ref="G5:G6"/>
    <mergeCell ref="H5:H6"/>
    <mergeCell ref="I5:I6"/>
    <mergeCell ref="A3:E3"/>
    <mergeCell ref="A2:J2"/>
    <mergeCell ref="F3:J3"/>
  </mergeCells>
  <pageMargins left="0.75" right="0.75" top="1" bottom="1" header="0.5" footer="0.5"/>
  <pageSetup firstPageNumber="1" fitToHeight="1" fitToWidth="1" scale="100" useFirstPageNumber="0" orientation="portrait" pageOrder="downThenOver"/>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